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tables/table185.xml" ContentType="application/vnd.openxmlformats-officedocument.spreadsheetml.table+xml"/>
  <Override PartName="/xl/tables/table186.xml" ContentType="application/vnd.openxmlformats-officedocument.spreadsheetml.table+xml"/>
  <Override PartName="/xl/tables/table187.xml" ContentType="application/vnd.openxmlformats-officedocument.spreadsheetml.table+xml"/>
  <Override PartName="/xl/tables/table188.xml" ContentType="application/vnd.openxmlformats-officedocument.spreadsheetml.table+xml"/>
  <Override PartName="/xl/tables/table189.xml" ContentType="application/vnd.openxmlformats-officedocument.spreadsheetml.table+xml"/>
  <Override PartName="/xl/tables/table190.xml" ContentType="application/vnd.openxmlformats-officedocument.spreadsheetml.table+xml"/>
  <Override PartName="/xl/tables/table191.xml" ContentType="application/vnd.openxmlformats-officedocument.spreadsheetml.table+xml"/>
  <Override PartName="/xl/tables/table192.xml" ContentType="application/vnd.openxmlformats-officedocument.spreadsheetml.table+xml"/>
  <Override PartName="/xl/tables/table193.xml" ContentType="application/vnd.openxmlformats-officedocument.spreadsheetml.table+xml"/>
  <Override PartName="/xl/tables/table194.xml" ContentType="application/vnd.openxmlformats-officedocument.spreadsheetml.table+xml"/>
  <Override PartName="/xl/tables/table195.xml" ContentType="application/vnd.openxmlformats-officedocument.spreadsheetml.table+xml"/>
  <Override PartName="/xl/tables/table196.xml" ContentType="application/vnd.openxmlformats-officedocument.spreadsheetml.table+xml"/>
  <Override PartName="/xl/tables/table197.xml" ContentType="application/vnd.openxmlformats-officedocument.spreadsheetml.table+xml"/>
  <Override PartName="/xl/tables/table198.xml" ContentType="application/vnd.openxmlformats-officedocument.spreadsheetml.table+xml"/>
  <Override PartName="/xl/tables/table199.xml" ContentType="application/vnd.openxmlformats-officedocument.spreadsheetml.table+xml"/>
  <Override PartName="/xl/tables/table200.xml" ContentType="application/vnd.openxmlformats-officedocument.spreadsheetml.table+xml"/>
  <Override PartName="/xl/tables/table201.xml" ContentType="application/vnd.openxmlformats-officedocument.spreadsheetml.table+xml"/>
  <Override PartName="/xl/tables/table202.xml" ContentType="application/vnd.openxmlformats-officedocument.spreadsheetml.table+xml"/>
  <Override PartName="/xl/tables/table203.xml" ContentType="application/vnd.openxmlformats-officedocument.spreadsheetml.table+xml"/>
  <Override PartName="/xl/tables/table204.xml" ContentType="application/vnd.openxmlformats-officedocument.spreadsheetml.table+xml"/>
  <Override PartName="/xl/tables/table205.xml" ContentType="application/vnd.openxmlformats-officedocument.spreadsheetml.table+xml"/>
  <Override PartName="/xl/tables/table206.xml" ContentType="application/vnd.openxmlformats-officedocument.spreadsheetml.table+xml"/>
  <Override PartName="/xl/tables/table207.xml" ContentType="application/vnd.openxmlformats-officedocument.spreadsheetml.table+xml"/>
  <Override PartName="/xl/tables/table208.xml" ContentType="application/vnd.openxmlformats-officedocument.spreadsheetml.table+xml"/>
  <Override PartName="/xl/tables/table209.xml" ContentType="application/vnd.openxmlformats-officedocument.spreadsheetml.table+xml"/>
  <Override PartName="/xl/tables/table210.xml" ContentType="application/vnd.openxmlformats-officedocument.spreadsheetml.table+xml"/>
  <Override PartName="/xl/tables/table211.xml" ContentType="application/vnd.openxmlformats-officedocument.spreadsheetml.table+xml"/>
  <Override PartName="/xl/tables/table212.xml" ContentType="application/vnd.openxmlformats-officedocument.spreadsheetml.table+xml"/>
  <Override PartName="/xl/tables/table213.xml" ContentType="application/vnd.openxmlformats-officedocument.spreadsheetml.table+xml"/>
  <Override PartName="/xl/tables/table214.xml" ContentType="application/vnd.openxmlformats-officedocument.spreadsheetml.table+xml"/>
  <Override PartName="/xl/tables/table215.xml" ContentType="application/vnd.openxmlformats-officedocument.spreadsheetml.table+xml"/>
  <Override PartName="/xl/tables/table216.xml" ContentType="application/vnd.openxmlformats-officedocument.spreadsheetml.table+xml"/>
  <Override PartName="/xl/tables/table217.xml" ContentType="application/vnd.openxmlformats-officedocument.spreadsheetml.table+xml"/>
  <Override PartName="/xl/tables/table218.xml" ContentType="application/vnd.openxmlformats-officedocument.spreadsheetml.table+xml"/>
  <Override PartName="/xl/tables/table219.xml" ContentType="application/vnd.openxmlformats-officedocument.spreadsheetml.table+xml"/>
  <Override PartName="/xl/tables/table220.xml" ContentType="application/vnd.openxmlformats-officedocument.spreadsheetml.table+xml"/>
  <Override PartName="/xl/tables/table221.xml" ContentType="application/vnd.openxmlformats-officedocument.spreadsheetml.table+xml"/>
  <Override PartName="/xl/tables/table222.xml" ContentType="application/vnd.openxmlformats-officedocument.spreadsheetml.table+xml"/>
  <Override PartName="/xl/tables/table223.xml" ContentType="application/vnd.openxmlformats-officedocument.spreadsheetml.table+xml"/>
  <Override PartName="/xl/tables/table224.xml" ContentType="application/vnd.openxmlformats-officedocument.spreadsheetml.table+xml"/>
  <Override PartName="/xl/tables/table22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FFEC483F-B7CF-4FE5-A02A-173D3240FB86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83" r:id="rId1"/>
    <sheet name="産業大分類" sheetId="5" r:id="rId2"/>
    <sheet name="産業中分類" sheetId="6" r:id="rId3"/>
    <sheet name="産業小分類" sheetId="7" r:id="rId4"/>
    <sheet name="福岡県" sheetId="8" r:id="rId5"/>
    <sheet name="北九州市" sheetId="9" r:id="rId6"/>
    <sheet name="北九州市門司区" sheetId="10" r:id="rId7"/>
    <sheet name="北九州市若松区" sheetId="11" r:id="rId8"/>
    <sheet name="北九州市戸畑区" sheetId="12" r:id="rId9"/>
    <sheet name="北九州市小倉北区" sheetId="13" r:id="rId10"/>
    <sheet name="北九州市小倉南区" sheetId="14" r:id="rId11"/>
    <sheet name="北九州市八幡東区" sheetId="15" r:id="rId12"/>
    <sheet name="北九州市八幡西区" sheetId="16" r:id="rId13"/>
    <sheet name="福岡市" sheetId="17" r:id="rId14"/>
    <sheet name="福岡市東区" sheetId="18" r:id="rId15"/>
    <sheet name="福岡市博多区" sheetId="19" r:id="rId16"/>
    <sheet name="福岡市中央区" sheetId="20" r:id="rId17"/>
    <sheet name="福岡市南区" sheetId="21" r:id="rId18"/>
    <sheet name="福岡市西区" sheetId="22" r:id="rId19"/>
    <sheet name="福岡市城南区" sheetId="23" r:id="rId20"/>
    <sheet name="福岡市早良区" sheetId="24" r:id="rId21"/>
    <sheet name="大牟田市" sheetId="25" r:id="rId22"/>
    <sheet name="久留米市" sheetId="26" r:id="rId23"/>
    <sheet name="直方市" sheetId="27" r:id="rId24"/>
    <sheet name="飯塚市" sheetId="28" r:id="rId25"/>
    <sheet name="田川市" sheetId="29" r:id="rId26"/>
    <sheet name="柳川市" sheetId="30" r:id="rId27"/>
    <sheet name="八女市" sheetId="31" r:id="rId28"/>
    <sheet name="筑後市" sheetId="32" r:id="rId29"/>
    <sheet name="大川市" sheetId="33" r:id="rId30"/>
    <sheet name="行橋市" sheetId="34" r:id="rId31"/>
    <sheet name="豊前市" sheetId="35" r:id="rId32"/>
    <sheet name="中間市" sheetId="36" r:id="rId33"/>
    <sheet name="小郡市" sheetId="37" r:id="rId34"/>
    <sheet name="筑紫野市" sheetId="38" r:id="rId35"/>
    <sheet name="春日市" sheetId="39" r:id="rId36"/>
    <sheet name="大野城市" sheetId="40" r:id="rId37"/>
    <sheet name="宗像市" sheetId="41" r:id="rId38"/>
    <sheet name="太宰府市" sheetId="42" r:id="rId39"/>
    <sheet name="古賀市" sheetId="43" r:id="rId40"/>
    <sheet name="福津市" sheetId="44" r:id="rId41"/>
    <sheet name="うきは市" sheetId="45" r:id="rId42"/>
    <sheet name="宮若市" sheetId="46" r:id="rId43"/>
    <sheet name="嘉麻市" sheetId="47" r:id="rId44"/>
    <sheet name="朝倉市" sheetId="48" r:id="rId45"/>
    <sheet name="みやま市" sheetId="49" r:id="rId46"/>
    <sheet name="糸島市" sheetId="50" r:id="rId47"/>
    <sheet name="那珂川市" sheetId="51" r:id="rId48"/>
    <sheet name="糟屋郡宇美町" sheetId="52" r:id="rId49"/>
    <sheet name="糟屋郡篠栗町" sheetId="53" r:id="rId50"/>
    <sheet name="糟屋郡志免町" sheetId="54" r:id="rId51"/>
    <sheet name="糟屋郡須恵町" sheetId="55" r:id="rId52"/>
    <sheet name="糟屋郡新宮町" sheetId="56" r:id="rId53"/>
    <sheet name="糟屋郡久山町" sheetId="57" r:id="rId54"/>
    <sheet name="糟屋郡粕屋町" sheetId="58" r:id="rId55"/>
    <sheet name="遠賀郡芦屋町" sheetId="59" r:id="rId56"/>
    <sheet name="遠賀郡水巻町" sheetId="60" r:id="rId57"/>
    <sheet name="遠賀郡岡垣町" sheetId="61" r:id="rId58"/>
    <sheet name="遠賀郡遠賀町" sheetId="62" r:id="rId59"/>
    <sheet name="鞍手郡小竹町" sheetId="63" r:id="rId60"/>
    <sheet name="鞍手郡鞍手町" sheetId="64" r:id="rId61"/>
    <sheet name="嘉穂郡桂川町" sheetId="65" r:id="rId62"/>
    <sheet name="朝倉郡筑前町" sheetId="66" r:id="rId63"/>
    <sheet name="朝倉郡東峰村" sheetId="67" r:id="rId64"/>
    <sheet name="三井郡大刀洗町" sheetId="68" r:id="rId65"/>
    <sheet name="三潴郡大木町" sheetId="69" r:id="rId66"/>
    <sheet name="八女郡広川町" sheetId="70" r:id="rId67"/>
    <sheet name="田川郡香春町" sheetId="71" r:id="rId68"/>
    <sheet name="田川郡添田町" sheetId="72" r:id="rId69"/>
    <sheet name="田川郡糸田町" sheetId="73" r:id="rId70"/>
    <sheet name="田川郡川崎町" sheetId="74" r:id="rId71"/>
    <sheet name="田川郡大任町" sheetId="75" r:id="rId72"/>
    <sheet name="田川郡赤村" sheetId="76" r:id="rId73"/>
    <sheet name="田川郡福智町" sheetId="77" r:id="rId74"/>
    <sheet name="京都郡苅田町" sheetId="78" r:id="rId75"/>
    <sheet name="京都郡みやこ町" sheetId="79" r:id="rId76"/>
    <sheet name="築上郡吉富町" sheetId="80" r:id="rId77"/>
    <sheet name="築上郡上毛町" sheetId="81" r:id="rId78"/>
    <sheet name="築上郡築上町" sheetId="82" r:id="rId79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245" r:id="rId80"/>
    <pivotCache cacheId="2246" r:id="rId81"/>
    <pivotCache cacheId="2247" r:id="rId8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82" l="1"/>
  <c r="G21" i="82"/>
  <c r="E21" i="82"/>
  <c r="I20" i="82"/>
  <c r="G20" i="82"/>
  <c r="E20" i="82"/>
  <c r="C20" i="82"/>
  <c r="I21" i="81"/>
  <c r="G21" i="81"/>
  <c r="E21" i="81"/>
  <c r="I20" i="81"/>
  <c r="G20" i="81"/>
  <c r="E20" i="81"/>
  <c r="C20" i="81"/>
  <c r="I21" i="80"/>
  <c r="G21" i="80"/>
  <c r="E21" i="80"/>
  <c r="I20" i="80"/>
  <c r="G20" i="80"/>
  <c r="E20" i="80"/>
  <c r="C20" i="80"/>
  <c r="I21" i="79"/>
  <c r="G21" i="79"/>
  <c r="E21" i="79"/>
  <c r="I20" i="79"/>
  <c r="G20" i="79"/>
  <c r="E20" i="79"/>
  <c r="C20" i="79"/>
  <c r="I21" i="78"/>
  <c r="G21" i="78"/>
  <c r="E21" i="78"/>
  <c r="I20" i="78"/>
  <c r="G20" i="78"/>
  <c r="E20" i="78"/>
  <c r="C20" i="78"/>
  <c r="I21" i="77"/>
  <c r="G21" i="77"/>
  <c r="E21" i="77"/>
  <c r="I20" i="77"/>
  <c r="G20" i="77"/>
  <c r="E20" i="77"/>
  <c r="C20" i="77"/>
  <c r="I21" i="76"/>
  <c r="G21" i="76"/>
  <c r="E21" i="76"/>
  <c r="I20" i="76"/>
  <c r="G20" i="76"/>
  <c r="E20" i="76"/>
  <c r="C20" i="76"/>
  <c r="I21" i="75"/>
  <c r="G21" i="75"/>
  <c r="E21" i="75"/>
  <c r="I20" i="75"/>
  <c r="G20" i="75"/>
  <c r="E20" i="75"/>
  <c r="C20" i="75"/>
  <c r="I21" i="74"/>
  <c r="G21" i="74"/>
  <c r="E21" i="74"/>
  <c r="I20" i="74"/>
  <c r="G20" i="74"/>
  <c r="E20" i="74"/>
  <c r="C20" i="74"/>
  <c r="I21" i="73"/>
  <c r="G21" i="73"/>
  <c r="E21" i="73"/>
  <c r="I20" i="73"/>
  <c r="G20" i="73"/>
  <c r="E20" i="73"/>
  <c r="C20" i="73"/>
  <c r="I21" i="72"/>
  <c r="G21" i="72"/>
  <c r="E21" i="72"/>
  <c r="I20" i="72"/>
  <c r="G20" i="72"/>
  <c r="E20" i="72"/>
  <c r="C20" i="72"/>
  <c r="I21" i="71"/>
  <c r="G21" i="71"/>
  <c r="E21" i="71"/>
  <c r="I20" i="71"/>
  <c r="G20" i="71"/>
  <c r="E20" i="71"/>
  <c r="C20" i="71"/>
  <c r="I21" i="70"/>
  <c r="G21" i="70"/>
  <c r="E21" i="70"/>
  <c r="I20" i="70"/>
  <c r="G20" i="70"/>
  <c r="E20" i="70"/>
  <c r="C20" i="70"/>
  <c r="I21" i="69"/>
  <c r="G21" i="69"/>
  <c r="E21" i="69"/>
  <c r="I20" i="69"/>
  <c r="G20" i="69"/>
  <c r="E20" i="69"/>
  <c r="C20" i="69"/>
  <c r="I21" i="68"/>
  <c r="G21" i="68"/>
  <c r="E21" i="68"/>
  <c r="I20" i="68"/>
  <c r="G20" i="68"/>
  <c r="E20" i="68"/>
  <c r="C20" i="68"/>
  <c r="I21" i="67"/>
  <c r="G21" i="67"/>
  <c r="E21" i="67"/>
  <c r="I20" i="67"/>
  <c r="G20" i="67"/>
  <c r="E20" i="67"/>
  <c r="C20" i="67"/>
  <c r="I21" i="66"/>
  <c r="G21" i="66"/>
  <c r="E21" i="66"/>
  <c r="I20" i="66"/>
  <c r="G20" i="66"/>
  <c r="E20" i="66"/>
  <c r="C20" i="66"/>
  <c r="I21" i="65"/>
  <c r="G21" i="65"/>
  <c r="E21" i="65"/>
  <c r="I20" i="65"/>
  <c r="G20" i="65"/>
  <c r="E20" i="65"/>
  <c r="C20" i="65"/>
  <c r="I21" i="64"/>
  <c r="G21" i="64"/>
  <c r="E21" i="64"/>
  <c r="I20" i="64"/>
  <c r="G20" i="64"/>
  <c r="E20" i="64"/>
  <c r="C20" i="64"/>
  <c r="I21" i="63"/>
  <c r="G21" i="63"/>
  <c r="E21" i="63"/>
  <c r="I20" i="63"/>
  <c r="G20" i="63"/>
  <c r="E20" i="63"/>
  <c r="C20" i="63"/>
  <c r="I21" i="62"/>
  <c r="G21" i="62"/>
  <c r="E21" i="62"/>
  <c r="I20" i="62"/>
  <c r="G20" i="62"/>
  <c r="E20" i="62"/>
  <c r="C20" i="62"/>
  <c r="I21" i="61"/>
  <c r="G21" i="61"/>
  <c r="E21" i="61"/>
  <c r="I20" i="61"/>
  <c r="G20" i="61"/>
  <c r="E20" i="61"/>
  <c r="C20" i="61"/>
  <c r="I21" i="60"/>
  <c r="G21" i="60"/>
  <c r="E21" i="60"/>
  <c r="I20" i="60"/>
  <c r="G20" i="60"/>
  <c r="E20" i="60"/>
  <c r="C20" i="60"/>
  <c r="I21" i="59"/>
  <c r="G21" i="59"/>
  <c r="E21" i="59"/>
  <c r="I20" i="59"/>
  <c r="G20" i="59"/>
  <c r="E20" i="59"/>
  <c r="C20" i="59"/>
  <c r="I21" i="58"/>
  <c r="G21" i="58"/>
  <c r="E21" i="58"/>
  <c r="I20" i="58"/>
  <c r="G20" i="58"/>
  <c r="E20" i="58"/>
  <c r="C20" i="58"/>
  <c r="I21" i="57"/>
  <c r="G21" i="57"/>
  <c r="E21" i="57"/>
  <c r="I20" i="57"/>
  <c r="G20" i="57"/>
  <c r="E20" i="57"/>
  <c r="C20" i="57"/>
  <c r="I21" i="56"/>
  <c r="G21" i="56"/>
  <c r="E21" i="56"/>
  <c r="I20" i="56"/>
  <c r="G20" i="56"/>
  <c r="E20" i="56"/>
  <c r="C20" i="56"/>
  <c r="I21" i="55"/>
  <c r="G21" i="55"/>
  <c r="E21" i="55"/>
  <c r="I20" i="55"/>
  <c r="G20" i="55"/>
  <c r="E20" i="55"/>
  <c r="C20" i="55"/>
  <c r="I21" i="54"/>
  <c r="G21" i="54"/>
  <c r="E21" i="54"/>
  <c r="I20" i="54"/>
  <c r="G20" i="54"/>
  <c r="E20" i="54"/>
  <c r="C20" i="54"/>
  <c r="I21" i="53"/>
  <c r="G21" i="53"/>
  <c r="E21" i="53"/>
  <c r="I20" i="53"/>
  <c r="G20" i="53"/>
  <c r="E20" i="53"/>
  <c r="C20" i="53"/>
  <c r="I21" i="52"/>
  <c r="G21" i="52"/>
  <c r="E21" i="52"/>
  <c r="I20" i="52"/>
  <c r="G20" i="52"/>
  <c r="E20" i="52"/>
  <c r="C20" i="52"/>
  <c r="I21" i="51"/>
  <c r="G21" i="51"/>
  <c r="E21" i="51"/>
  <c r="I20" i="51"/>
  <c r="G20" i="51"/>
  <c r="E20" i="51"/>
  <c r="C20" i="51"/>
  <c r="I21" i="50"/>
  <c r="G21" i="50"/>
  <c r="E21" i="50"/>
  <c r="I20" i="50"/>
  <c r="G20" i="50"/>
  <c r="E20" i="50"/>
  <c r="C20" i="50"/>
  <c r="I21" i="49"/>
  <c r="G21" i="49"/>
  <c r="E21" i="49"/>
  <c r="I20" i="49"/>
  <c r="G20" i="49"/>
  <c r="E20" i="49"/>
  <c r="C20" i="49"/>
  <c r="I21" i="48"/>
  <c r="G21" i="48"/>
  <c r="E21" i="48"/>
  <c r="I20" i="48"/>
  <c r="G20" i="48"/>
  <c r="E20" i="48"/>
  <c r="C20" i="48"/>
  <c r="I21" i="47"/>
  <c r="G21" i="47"/>
  <c r="E21" i="47"/>
  <c r="I20" i="47"/>
  <c r="G20" i="47"/>
  <c r="E20" i="47"/>
  <c r="C20" i="47"/>
  <c r="I21" i="46"/>
  <c r="G21" i="46"/>
  <c r="E21" i="46"/>
  <c r="I20" i="46"/>
  <c r="G20" i="46"/>
  <c r="E20" i="46"/>
  <c r="C20" i="46"/>
  <c r="I21" i="45"/>
  <c r="G21" i="45"/>
  <c r="E21" i="45"/>
  <c r="I20" i="45"/>
  <c r="G20" i="45"/>
  <c r="E20" i="45"/>
  <c r="C20" i="45"/>
  <c r="I21" i="44"/>
  <c r="G21" i="44"/>
  <c r="E21" i="44"/>
  <c r="I20" i="44"/>
  <c r="G20" i="44"/>
  <c r="E20" i="44"/>
  <c r="C20" i="44"/>
  <c r="I21" i="43"/>
  <c r="G21" i="43"/>
  <c r="E21" i="43"/>
  <c r="I20" i="43"/>
  <c r="G20" i="43"/>
  <c r="E20" i="43"/>
  <c r="C20" i="43"/>
  <c r="I21" i="42"/>
  <c r="G21" i="42"/>
  <c r="E21" i="42"/>
  <c r="I20" i="42"/>
  <c r="G20" i="42"/>
  <c r="E20" i="42"/>
  <c r="C20" i="42"/>
  <c r="I21" i="41"/>
  <c r="G21" i="41"/>
  <c r="E21" i="41"/>
  <c r="I20" i="41"/>
  <c r="G20" i="41"/>
  <c r="E20" i="41"/>
  <c r="C20" i="41"/>
  <c r="I21" i="40"/>
  <c r="G21" i="40"/>
  <c r="E21" i="40"/>
  <c r="I20" i="40"/>
  <c r="G20" i="40"/>
  <c r="E20" i="40"/>
  <c r="C20" i="40"/>
  <c r="I21" i="39"/>
  <c r="G21" i="39"/>
  <c r="E21" i="39"/>
  <c r="I20" i="39"/>
  <c r="G20" i="39"/>
  <c r="E20" i="39"/>
  <c r="C20" i="39"/>
  <c r="I21" i="38"/>
  <c r="G21" i="38"/>
  <c r="E21" i="38"/>
  <c r="I20" i="38"/>
  <c r="G20" i="38"/>
  <c r="E20" i="38"/>
  <c r="C20" i="38"/>
  <c r="I21" i="37"/>
  <c r="G21" i="37"/>
  <c r="E21" i="37"/>
  <c r="I20" i="37"/>
  <c r="G20" i="37"/>
  <c r="E20" i="37"/>
  <c r="C20" i="37"/>
  <c r="I21" i="36"/>
  <c r="G21" i="36"/>
  <c r="E21" i="36"/>
  <c r="I20" i="36"/>
  <c r="G20" i="36"/>
  <c r="E20" i="36"/>
  <c r="C20" i="36"/>
  <c r="I21" i="35"/>
  <c r="G21" i="35"/>
  <c r="E21" i="35"/>
  <c r="I20" i="35"/>
  <c r="G20" i="35"/>
  <c r="E20" i="35"/>
  <c r="C20" i="35"/>
  <c r="I21" i="34"/>
  <c r="G21" i="34"/>
  <c r="E21" i="34"/>
  <c r="I20" i="34"/>
  <c r="G20" i="34"/>
  <c r="E20" i="34"/>
  <c r="C20" i="34"/>
  <c r="I21" i="33"/>
  <c r="G21" i="33"/>
  <c r="E21" i="33"/>
  <c r="I20" i="33"/>
  <c r="G20" i="33"/>
  <c r="E20" i="33"/>
  <c r="C20" i="33"/>
  <c r="I21" i="32"/>
  <c r="G21" i="32"/>
  <c r="E21" i="32"/>
  <c r="I20" i="32"/>
  <c r="G20" i="32"/>
  <c r="E20" i="32"/>
  <c r="C20" i="32"/>
  <c r="I21" i="31"/>
  <c r="G21" i="31"/>
  <c r="E21" i="31"/>
  <c r="I20" i="31"/>
  <c r="G20" i="31"/>
  <c r="E20" i="31"/>
  <c r="C20" i="31"/>
  <c r="I21" i="30"/>
  <c r="G21" i="30"/>
  <c r="E21" i="30"/>
  <c r="I20" i="30"/>
  <c r="G20" i="30"/>
  <c r="E20" i="30"/>
  <c r="C20" i="30"/>
  <c r="I21" i="29"/>
  <c r="G21" i="29"/>
  <c r="E21" i="29"/>
  <c r="I20" i="29"/>
  <c r="G20" i="29"/>
  <c r="E20" i="29"/>
  <c r="C20" i="29"/>
  <c r="I21" i="28"/>
  <c r="G21" i="28"/>
  <c r="E21" i="28"/>
  <c r="I20" i="28"/>
  <c r="G20" i="28"/>
  <c r="E20" i="28"/>
  <c r="C20" i="28"/>
  <c r="I21" i="27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<sst xmlns="http://schemas.openxmlformats.org/spreadsheetml/2006/main" count="11175" uniqueCount="439">
  <si>
    <t>40000 福岡県</t>
  </si>
  <si>
    <t>40100 北九州市</t>
  </si>
  <si>
    <t>40101 北九州市門司区</t>
  </si>
  <si>
    <t>40103 北九州市若松区</t>
  </si>
  <si>
    <t>40105 北九州市戸畑区</t>
  </si>
  <si>
    <t>40106 北九州市小倉北区</t>
  </si>
  <si>
    <t>40107 北九州市小倉南区</t>
  </si>
  <si>
    <t>40108 北九州市八幡東区</t>
  </si>
  <si>
    <t>40109 北九州市八幡西区</t>
  </si>
  <si>
    <t>40130 福岡市</t>
  </si>
  <si>
    <t>40131 福岡市東区</t>
  </si>
  <si>
    <t>40132 福岡市博多区</t>
  </si>
  <si>
    <t>40133 福岡市中央区</t>
  </si>
  <si>
    <t>40134 福岡市南区</t>
  </si>
  <si>
    <t>40135 福岡市西区</t>
  </si>
  <si>
    <t>40136 福岡市城南区</t>
  </si>
  <si>
    <t>40137 福岡市早良区</t>
  </si>
  <si>
    <t>40202 大牟田市</t>
  </si>
  <si>
    <t>40203 久留米市</t>
  </si>
  <si>
    <t>40204 直方市</t>
  </si>
  <si>
    <t>40205 飯塚市</t>
  </si>
  <si>
    <t>40206 田川市</t>
  </si>
  <si>
    <t>40207 柳川市</t>
  </si>
  <si>
    <t>40210 八女市</t>
  </si>
  <si>
    <t>40211 筑後市</t>
  </si>
  <si>
    <t>40212 大川市</t>
  </si>
  <si>
    <t>40213 行橋市</t>
  </si>
  <si>
    <t>40214 豊前市</t>
  </si>
  <si>
    <t>40215 中間市</t>
  </si>
  <si>
    <t>40216 小郡市</t>
  </si>
  <si>
    <t>40217 筑紫野市</t>
  </si>
  <si>
    <t>40218 春日市</t>
  </si>
  <si>
    <t>40219 大野城市</t>
  </si>
  <si>
    <t>40220 宗像市</t>
  </si>
  <si>
    <t>40221 太宰府市</t>
  </si>
  <si>
    <t>40223 古賀市</t>
  </si>
  <si>
    <t>40224 福津市</t>
  </si>
  <si>
    <t>40225 うきは市</t>
  </si>
  <si>
    <t>40226 宮若市</t>
  </si>
  <si>
    <t>40227 嘉麻市</t>
  </si>
  <si>
    <t>40228 朝倉市</t>
  </si>
  <si>
    <t>40229 みやま市</t>
  </si>
  <si>
    <t>40230 糸島市</t>
  </si>
  <si>
    <t>40231 那珂川市</t>
  </si>
  <si>
    <t>40341 糟屋郡宇美町</t>
  </si>
  <si>
    <t>40342 糟屋郡篠栗町</t>
  </si>
  <si>
    <t>40343 糟屋郡志免町</t>
  </si>
  <si>
    <t>40344 糟屋郡須恵町</t>
  </si>
  <si>
    <t>40345 糟屋郡新宮町</t>
  </si>
  <si>
    <t>40348 糟屋郡久山町</t>
  </si>
  <si>
    <t>40349 糟屋郡粕屋町</t>
  </si>
  <si>
    <t>40381 遠賀郡芦屋町</t>
  </si>
  <si>
    <t>40382 遠賀郡水巻町</t>
  </si>
  <si>
    <t>40383 遠賀郡岡垣町</t>
  </si>
  <si>
    <t>40384 遠賀郡遠賀町</t>
  </si>
  <si>
    <t>40401 鞍手郡小竹町</t>
  </si>
  <si>
    <t>40402 鞍手郡鞍手町</t>
  </si>
  <si>
    <t>40421 嘉穂郡桂川町</t>
  </si>
  <si>
    <t>40447 朝倉郡筑前町</t>
  </si>
  <si>
    <t>40448 朝倉郡東峰村</t>
  </si>
  <si>
    <t>40503 三井郡大刀洗町</t>
  </si>
  <si>
    <t>40522 三潴郡大木町</t>
  </si>
  <si>
    <t>40544 八女郡広川町</t>
  </si>
  <si>
    <t>40601 田川郡香春町</t>
  </si>
  <si>
    <t>40602 田川郡添田町</t>
  </si>
  <si>
    <t>40604 田川郡糸田町</t>
  </si>
  <si>
    <t>40605 田川郡川崎町</t>
  </si>
  <si>
    <t>40608 田川郡大任町</t>
  </si>
  <si>
    <t>40609 田川郡赤村</t>
  </si>
  <si>
    <t>40610 田川郡福智町</t>
  </si>
  <si>
    <t>40621 京都郡苅田町</t>
  </si>
  <si>
    <t>40625 京都郡みやこ町</t>
  </si>
  <si>
    <t>40642 築上郡吉富町</t>
  </si>
  <si>
    <t>40646 築上郡上毛町</t>
  </si>
  <si>
    <t>40647 築上郡築上町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</si>
  <si>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</si>
  <si>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</si>
  <si>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</si>
  <si>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</si>
  <si>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</si>
  <si>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</si>
  <si>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</si>
  <si>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</si>
  <si>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</si>
  <si>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</si>
  <si>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</si>
  <si>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</si>
  <si>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</si>
  <si>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</si>
  <si>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</si>
  <si>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</si>
  <si>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</si>
  <si>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</si>
  <si>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</si>
  <si>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</si>
  <si>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</si>
  <si>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</si>
  <si>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</si>
  <si>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</si>
  <si>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</si>
  <si>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</si>
  <si>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53 建築材料，鉱物・金属材料等卸売業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</si>
  <si>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</si>
  <si>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</si>
  <si>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</si>
  <si>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</si>
  <si>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</si>
  <si>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</si>
  <si>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</si>
  <si>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</si>
  <si>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</si>
  <si>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</si>
  <si>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</si>
  <si>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</si>
  <si>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82 その他の教育，学習支援業</t>
  </si>
  <si>
    <t>83 医療業</t>
  </si>
  <si>
    <t>85 社会保険・社会福祉・介護事業</t>
  </si>
  <si>
    <t>92 その他の事業サービス業</t>
  </si>
  <si>
    <t>79 その他の生活関連サービス業</t>
  </si>
  <si>
    <t>24 金属製品製造業</t>
  </si>
  <si>
    <t>48 運輸に附帯するサービス業</t>
  </si>
  <si>
    <t>77 持ち帰り・配達飲食サービス業</t>
  </si>
  <si>
    <t>67 保険業（保険媒介代理業，保険サービス業を含む）</t>
  </si>
  <si>
    <t>89 自動車整備業</t>
  </si>
  <si>
    <t>52 飲食料品卸売業</t>
  </si>
  <si>
    <t>39 情報サービス業</t>
  </si>
  <si>
    <t>61 無店舗小売業</t>
  </si>
  <si>
    <t>80 娯楽業</t>
  </si>
  <si>
    <t>25 はん用機械器具製造業</t>
  </si>
  <si>
    <t>26 生産用機械器具製造業</t>
  </si>
  <si>
    <t>09 食料品製造業</t>
  </si>
  <si>
    <t>13 家具・装備品製造業</t>
  </si>
  <si>
    <t>32 その他の製造業</t>
  </si>
  <si>
    <t>10 飲料・たばこ・飼料製造業</t>
  </si>
  <si>
    <t>11 繊維工業</t>
  </si>
  <si>
    <t>12 木材・木製品製造業（家具を除く）</t>
  </si>
  <si>
    <t>21 窯業・土石製品製造業</t>
  </si>
  <si>
    <t>44 道路貨物運送業</t>
  </si>
  <si>
    <t>43 道路旅客運送業</t>
  </si>
  <si>
    <t>90 機械等修理業（別掲を除く）</t>
  </si>
  <si>
    <t>70 物品賃貸業</t>
  </si>
  <si>
    <t>40 インターネット附随サービス業</t>
  </si>
  <si>
    <t>15 印刷・同関連業</t>
  </si>
  <si>
    <t>22 鉄鋼業</t>
  </si>
  <si>
    <t>28 電子部品・デバイス・電子回路製造業</t>
  </si>
  <si>
    <t>31 輸送用機械器具製造業</t>
  </si>
  <si>
    <t>33 電気業</t>
  </si>
  <si>
    <t>88 廃棄物処理業</t>
  </si>
  <si>
    <t>36 水道業</t>
  </si>
  <si>
    <t>95 その他のサービス業</t>
  </si>
  <si>
    <t>18 プラスチック製品製造業（別掲を除く）</t>
  </si>
  <si>
    <t>75 宿泊業</t>
  </si>
  <si>
    <t>自治体</t>
  </si>
  <si>
    <t>産業中分類</t>
  </si>
  <si>
    <t>062 土木工事業（舗装工事業を除く）</t>
  </si>
  <si>
    <t>064 建築工事業（木造建築工事業を除く）</t>
  </si>
  <si>
    <t>081 電気工事業</t>
  </si>
  <si>
    <t>573 婦人・子供服小売業</t>
  </si>
  <si>
    <t>589 その他の飲食料品小売業</t>
  </si>
  <si>
    <t>591 自動車小売業</t>
  </si>
  <si>
    <t>603 医薬品・化粧品小売業</t>
  </si>
  <si>
    <t>609 他に分類されない小売業</t>
  </si>
  <si>
    <t>682 不動産代理業・仲介業</t>
  </si>
  <si>
    <t>691 不動産賃貸業（貸家業，貸間業を除く）</t>
  </si>
  <si>
    <t>692 貸家業，貸間業</t>
  </si>
  <si>
    <t>742 土木建築サービス業</t>
  </si>
  <si>
    <t>762 専門料理店</t>
  </si>
  <si>
    <t>765 酒場，ビヤホール</t>
  </si>
  <si>
    <t>766 バー，キャバレー，ナイトクラブ</t>
  </si>
  <si>
    <t>782 理容業</t>
  </si>
  <si>
    <t>783 美容業</t>
  </si>
  <si>
    <t>824 教養・技能教授業</t>
  </si>
  <si>
    <t>835 療術業</t>
  </si>
  <si>
    <t>891 自動車整備業</t>
  </si>
  <si>
    <t>083 管工事業（さく井工事業を除く）</t>
  </si>
  <si>
    <t>693 駐車場業</t>
  </si>
  <si>
    <t>582 野菜・果実小売業</t>
  </si>
  <si>
    <t>586 菓子・パン小売業</t>
  </si>
  <si>
    <t>761 食堂，レストラン（専門料理店を除く）</t>
  </si>
  <si>
    <t>767 喫茶店</t>
  </si>
  <si>
    <t>244 建設用・建築用金属製品製造業（製缶板金業を含む）</t>
  </si>
  <si>
    <t>585 酒小売業</t>
  </si>
  <si>
    <t>781 洗濯業</t>
  </si>
  <si>
    <t>833 歯科診療所</t>
  </si>
  <si>
    <t>541 産業機械器具卸売業</t>
  </si>
  <si>
    <t>559 他に分類されない卸売業</t>
  </si>
  <si>
    <t>065 木造建築工事業</t>
  </si>
  <si>
    <t>066 建築リフォーム工事業</t>
  </si>
  <si>
    <t>694 不動産管理業</t>
  </si>
  <si>
    <t>729 その他の専門サービス業</t>
  </si>
  <si>
    <t>929 他に分類されない事業サービス業</t>
  </si>
  <si>
    <t>522 食料・飲料卸売業</t>
  </si>
  <si>
    <t>611 通信販売・訪問販売小売業</t>
  </si>
  <si>
    <t>391 ソフトウェア業</t>
  </si>
  <si>
    <t>531 建築材料卸売業</t>
  </si>
  <si>
    <t>532 化学製品卸売業</t>
  </si>
  <si>
    <t>543 電気機械器具卸売業</t>
  </si>
  <si>
    <t>728 経営コンサルタント業，純粋持株会社</t>
  </si>
  <si>
    <t>721 法律事務所，特許事務所</t>
  </si>
  <si>
    <t>722 公証人役場，司法書士事務所，土地家屋調査士事務所</t>
  </si>
  <si>
    <t>724 公認会計士事務所，税理士事務所</t>
  </si>
  <si>
    <t>789 その他の洗濯・理容・美容・浴場業</t>
  </si>
  <si>
    <t>078 床・内装工事業</t>
  </si>
  <si>
    <t>079 その他の職別工事業</t>
  </si>
  <si>
    <t>854 老人福祉・介護事業</t>
  </si>
  <si>
    <t>605 燃料小売業</t>
  </si>
  <si>
    <t>266 金属加工機械製造業</t>
  </si>
  <si>
    <t>269 その他の生産用機械・同部分品製造業</t>
  </si>
  <si>
    <t>593 機械器具小売業（自動車，自転車を除く）</t>
  </si>
  <si>
    <t>131 家具製造業</t>
  </si>
  <si>
    <t>328 畳等生活雑貨製品製造業</t>
  </si>
  <si>
    <t>103 茶・コーヒー製造業（清涼飲料を除く）</t>
  </si>
  <si>
    <t>601 家具・建具・畳小売業</t>
  </si>
  <si>
    <t>121 製材業，木製品製造業</t>
  </si>
  <si>
    <t>122 造作材・合板・建築用組立材料製造業</t>
  </si>
  <si>
    <t>129 その他の木製品製造業（竹，とうを含む）</t>
  </si>
  <si>
    <t>133 建具製造業</t>
  </si>
  <si>
    <t>551 家具・建具・じゅう器等卸売業</t>
  </si>
  <si>
    <t>772 配達飲食サービス業</t>
  </si>
  <si>
    <t>821 社会教育</t>
  </si>
  <si>
    <t>823 学習塾</t>
  </si>
  <si>
    <t>084 機械器具設置工事業</t>
  </si>
  <si>
    <t>799 他に分類されない生活関連サービス業</t>
  </si>
  <si>
    <t>099 その他の食料品製造業</t>
  </si>
  <si>
    <t>441 一般貨物自動車運送業</t>
  </si>
  <si>
    <t>604 農耕用品小売業</t>
  </si>
  <si>
    <t>853 児童福祉事業</t>
  </si>
  <si>
    <t>432 一般乗用旅客自動車運送業</t>
  </si>
  <si>
    <t>077 塗装工事業</t>
  </si>
  <si>
    <t>329 他に分類されない製造業</t>
  </si>
  <si>
    <t>751 旅館，ホテル</t>
  </si>
  <si>
    <t>763 そば・うどん店</t>
  </si>
  <si>
    <t>061 一般土木建築工事業</t>
  </si>
  <si>
    <t>072 とび・土工・コンクリート工事業</t>
  </si>
  <si>
    <t>090 管理，補助的経済活動を行う事業所</t>
  </si>
  <si>
    <t>182 プラスチックフィルム・シート・床材・合成皮革製造業</t>
  </si>
  <si>
    <t>443 貨物軽自動車運送業</t>
  </si>
  <si>
    <t>471 倉庫業（冷蔵倉庫業を除く）</t>
  </si>
  <si>
    <t>489 その他の運輸に附帯するサービス業</t>
  </si>
  <si>
    <t>513 身の回り品卸売業</t>
  </si>
  <si>
    <t>536 再生資源卸売業</t>
  </si>
  <si>
    <t>579 その他の織物・衣服・身の回り品小売業</t>
  </si>
  <si>
    <t>607 スポーツ用品・がん具・娯楽用品・楽器小売業</t>
  </si>
  <si>
    <t>608 写真機・時計・眼鏡小売業</t>
  </si>
  <si>
    <t>702 産業用機械器具賃貸業</t>
  </si>
  <si>
    <t>769 その他の飲食店</t>
  </si>
  <si>
    <t>804 スポーツ施設提供業</t>
  </si>
  <si>
    <t>909 その他の修理業</t>
  </si>
  <si>
    <t>151 印刷業</t>
  </si>
  <si>
    <t>212 セメント・同製品製造業</t>
  </si>
  <si>
    <t>245 金属素形材製品製造業</t>
  </si>
  <si>
    <t>521 農畜産物・水産物卸売業</t>
  </si>
  <si>
    <t>922 建物サービス業</t>
  </si>
  <si>
    <t>311 自動車・同附属品製造業</t>
  </si>
  <si>
    <t>855 障害者福祉事業</t>
  </si>
  <si>
    <t>075 左官工事業</t>
  </si>
  <si>
    <t>331 電気業</t>
  </si>
  <si>
    <t>581 各種食料品小売業</t>
  </si>
  <si>
    <t>214 陶磁器・同関連製品製造業</t>
  </si>
  <si>
    <t>602 じゅう器小売業</t>
  </si>
  <si>
    <t>727 著述・芸術家業</t>
  </si>
  <si>
    <t>542 自動車卸売業</t>
  </si>
  <si>
    <t>583 食肉小売業</t>
  </si>
  <si>
    <t>951 集会場</t>
  </si>
  <si>
    <t>076 板金・金物工事業</t>
  </si>
  <si>
    <t>112 織物業</t>
  </si>
  <si>
    <t>571 呉服・服地・寝具小売業</t>
  </si>
  <si>
    <t>584 鮮魚小売業</t>
  </si>
  <si>
    <t>063 舗装工事業</t>
  </si>
  <si>
    <t>361 上水道業</t>
  </si>
  <si>
    <t>606 書籍・文房具小売業</t>
  </si>
  <si>
    <t>218 骨材・石工品等製造業</t>
  </si>
  <si>
    <t>580 管理，補助的経済活動を行う事業所</t>
  </si>
  <si>
    <t>741 獣医業</t>
  </si>
  <si>
    <t>759 その他の宿泊業</t>
  </si>
  <si>
    <t>836 医療に附帯するサービス業</t>
  </si>
  <si>
    <t>859 その他の社会保険・社会福祉・介護事業</t>
  </si>
  <si>
    <t>881 一般廃棄物処理業</t>
  </si>
  <si>
    <t>796 冠婚葬祭業</t>
  </si>
  <si>
    <t>089 その他の設備工事業</t>
  </si>
  <si>
    <t>749 その他の技術サービス業</t>
  </si>
  <si>
    <t>901 機械修理業（電気機械器具を除く）</t>
  </si>
  <si>
    <t>産業小分類</t>
  </si>
  <si>
    <t>40000　福岡県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</si>
  <si>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</si>
  <si>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</si>
  <si>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</si>
  <si>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</si>
  <si>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</si>
  <si>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40100　北九州市</t>
  </si>
  <si>
    <t>40101　北九州市門司区</t>
  </si>
  <si>
    <t>40103　北九州市若松区</t>
  </si>
  <si>
    <t>40105　北九州市戸畑区</t>
  </si>
  <si>
    <t>40106　北九州市小倉北区</t>
  </si>
  <si>
    <t>40107　北九州市小倉南区</t>
  </si>
  <si>
    <t>40108　北九州市八幡東区</t>
  </si>
  <si>
    <t>40109　北九州市八幡西区</t>
  </si>
  <si>
    <t>40130　福岡市</t>
  </si>
  <si>
    <t>40131　福岡市東区</t>
  </si>
  <si>
    <t>40132　福岡市博多区</t>
  </si>
  <si>
    <t>40133　福岡市中央区</t>
  </si>
  <si>
    <t>40134　福岡市南区</t>
  </si>
  <si>
    <t>40135　福岡市西区</t>
  </si>
  <si>
    <t>40136　福岡市城南区</t>
  </si>
  <si>
    <t>40137　福岡市早良区</t>
  </si>
  <si>
    <t>40202　大牟田市</t>
  </si>
  <si>
    <t>40203　久留米市</t>
  </si>
  <si>
    <t>40204　直方市</t>
  </si>
  <si>
    <t>40205　飯塚市</t>
  </si>
  <si>
    <t>40206　田川市</t>
  </si>
  <si>
    <t>40207　柳川市</t>
  </si>
  <si>
    <t>40210　八女市</t>
  </si>
  <si>
    <t>40211　筑後市</t>
  </si>
  <si>
    <t>40212　大川市</t>
  </si>
  <si>
    <t>40213　行橋市</t>
  </si>
  <si>
    <t>40214　豊前市</t>
  </si>
  <si>
    <t>40215　中間市</t>
  </si>
  <si>
    <t>40216　小郡市</t>
  </si>
  <si>
    <t>40217　筑紫野市</t>
  </si>
  <si>
    <t>40218　春日市</t>
  </si>
  <si>
    <t>40219　大野城市</t>
  </si>
  <si>
    <t>40220　宗像市</t>
  </si>
  <si>
    <t>40221　太宰府市</t>
  </si>
  <si>
    <t>40223　古賀市</t>
  </si>
  <si>
    <t>40224　福津市</t>
  </si>
  <si>
    <t>40225　うきは市</t>
  </si>
  <si>
    <t>40226　宮若市</t>
  </si>
  <si>
    <t>40227　嘉麻市</t>
  </si>
  <si>
    <t>40228　朝倉市</t>
  </si>
  <si>
    <t>40229　みやま市</t>
  </si>
  <si>
    <t>40230　糸島市</t>
  </si>
  <si>
    <t>40231　那珂川市</t>
  </si>
  <si>
    <t>40341　糟屋郡宇美町</t>
  </si>
  <si>
    <t>40342　糟屋郡篠栗町</t>
  </si>
  <si>
    <t>40343　糟屋郡志免町</t>
  </si>
  <si>
    <t>40344　糟屋郡須恵町</t>
  </si>
  <si>
    <t>40345　糟屋郡新宮町</t>
  </si>
  <si>
    <t>40348　糟屋郡久山町</t>
  </si>
  <si>
    <t>40349　糟屋郡粕屋町</t>
  </si>
  <si>
    <t>40381　遠賀郡芦屋町</t>
  </si>
  <si>
    <t>40382　遠賀郡水巻町</t>
  </si>
  <si>
    <t>40383　遠賀郡岡垣町</t>
  </si>
  <si>
    <t>40384　遠賀郡遠賀町</t>
  </si>
  <si>
    <t>40401　鞍手郡小竹町</t>
  </si>
  <si>
    <t>40402　鞍手郡鞍手町</t>
  </si>
  <si>
    <t>40421　嘉穂郡桂川町</t>
  </si>
  <si>
    <t>40447　朝倉郡筑前町</t>
  </si>
  <si>
    <t>40448　朝倉郡東峰村</t>
  </si>
  <si>
    <t>40503　三井郡大刀洗町</t>
  </si>
  <si>
    <t>40522　三潴郡大木町</t>
  </si>
  <si>
    <t>40544　八女郡広川町</t>
  </si>
  <si>
    <t>40601　田川郡香春町</t>
  </si>
  <si>
    <t>40602　田川郡添田町</t>
  </si>
  <si>
    <t>40604　田川郡糸田町</t>
  </si>
  <si>
    <t>40605　田川郡川崎町</t>
  </si>
  <si>
    <t>40608　田川郡大任町</t>
  </si>
  <si>
    <t>40609　田川郡赤村</t>
  </si>
  <si>
    <t>40610　田川郡福智町</t>
  </si>
  <si>
    <t>40621　京都郡苅田町</t>
  </si>
  <si>
    <t>40625　京都郡みやこ町</t>
  </si>
  <si>
    <t>40642　築上郡吉富町</t>
  </si>
  <si>
    <t>40646　築上郡上毛町</t>
  </si>
  <si>
    <t>40647　築上郡築上町</t>
  </si>
  <si>
    <t>福岡県</t>
  </si>
  <si>
    <t>北九州市</t>
  </si>
  <si>
    <t>北九州市門司区</t>
  </si>
  <si>
    <t>北九州市若松区</t>
  </si>
  <si>
    <t>北九州市戸畑区</t>
  </si>
  <si>
    <t>北九州市小倉北区</t>
  </si>
  <si>
    <t>北九州市小倉南区</t>
  </si>
  <si>
    <t>北九州市八幡東区</t>
  </si>
  <si>
    <t>北九州市八幡西区</t>
  </si>
  <si>
    <t>福岡市</t>
  </si>
  <si>
    <t>福岡市東区</t>
  </si>
  <si>
    <t>福岡市博多区</t>
  </si>
  <si>
    <t>福岡市中央区</t>
  </si>
  <si>
    <t>福岡市南区</t>
  </si>
  <si>
    <t>福岡市西区</t>
  </si>
  <si>
    <t>福岡市城南区</t>
  </si>
  <si>
    <t>福岡市早良区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</si>
  <si>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</si>
  <si>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</si>
  <si>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</si>
  <si>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</si>
  <si>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</si>
  <si>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</si>
  <si>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</si>
  <si>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</si>
  <si>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</si>
  <si>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</si>
  <si>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</si>
  <si>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</si>
  <si>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</si>
  <si>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</si>
  <si>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</si>
  <si>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</si>
  <si>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</si>
  <si>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</si>
  <si>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</si>
  <si>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</si>
  <si>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</si>
  <si>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</si>
  <si>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</si>
  <si>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</si>
  <si>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</si>
  <si>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</si>
  <si>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</si>
  <si>
    <t>糟屋郡宇美町</t>
  </si>
  <si>
    <t>糟屋郡篠栗町</t>
  </si>
  <si>
    <t>糟屋郡志免町</t>
  </si>
  <si>
    <t>糟屋郡須恵町</t>
  </si>
  <si>
    <t>糟屋郡新宮町</t>
  </si>
  <si>
    <t>糟屋郡久山町</t>
  </si>
  <si>
    <t>糟屋郡粕屋町</t>
  </si>
  <si>
    <t>遠賀郡芦屋町</t>
  </si>
  <si>
    <t>遠賀郡水巻町</t>
  </si>
  <si>
    <t>遠賀郡岡垣町</t>
  </si>
  <si>
    <t>遠賀郡遠賀町</t>
  </si>
  <si>
    <t>鞍手郡小竹町</t>
  </si>
  <si>
    <t>鞍手郡鞍手町</t>
  </si>
  <si>
    <t>嘉穂郡桂川町</t>
  </si>
  <si>
    <t>朝倉郡筑前町</t>
  </si>
  <si>
    <t>朝倉郡東峰村</t>
  </si>
  <si>
    <t>三井郡大刀洗町</t>
  </si>
  <si>
    <t>三潴郡大木町</t>
  </si>
  <si>
    <t>八女郡広川町</t>
  </si>
  <si>
    <t>田川郡香春町</t>
  </si>
  <si>
    <t>田川郡添田町</t>
  </si>
  <si>
    <t>田川郡糸田町</t>
  </si>
  <si>
    <t>田川郡川崎町</t>
  </si>
  <si>
    <t>田川郡大任町</t>
  </si>
  <si>
    <t>田川郡赤村</t>
  </si>
  <si>
    <t>田川郡福智町</t>
  </si>
  <si>
    <t>京都郡苅田町</t>
  </si>
  <si>
    <t>京都郡みやこ町</t>
  </si>
  <si>
    <t>築上郡吉富町</t>
  </si>
  <si>
    <t>築上郡上毛町</t>
  </si>
  <si>
    <t>築上郡築上町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</si>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</sst>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100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onnections" Target="connection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pivotCacheDefinition" Target="pivotCache/pivotCacheDefinition1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pivotCacheDefinition" Target="pivotCache/pivotCacheDefinition2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6509259262" createdVersion="5" refreshedVersion="8" minRefreshableVersion="3" recordCount="1125" xr:uid="{57999620-7C0C-4B6F-ACB5-009443D5BA1F}">
  <cacheSource type="external" connectionId="1"/>
  <cacheFields count="11">
    <cacheField name="都道府県" numFmtId="0" sqlType="-9">
      <sharedItems count="1">
        <s v="40 福岡県"/>
      </sharedItems>
    </cacheField>
    <cacheField name="自治体名" numFmtId="0" sqlType="-9">
      <sharedItems/>
    </cacheField>
    <cacheField name="自治体" numFmtId="0" sqlType="-9">
      <sharedItems count="75">
        <s v="40000 福岡県"/>
        <s v="40100 北九州市"/>
        <s v="40101 北九州市門司区"/>
        <s v="40103 北九州市若松区"/>
        <s v="40105 北九州市戸畑区"/>
        <s v="40106 北九州市小倉北区"/>
        <s v="40107 北九州市小倉南区"/>
        <s v="40108 北九州市八幡東区"/>
        <s v="40109 北九州市八幡西区"/>
        <s v="40130 福岡市"/>
        <s v="40131 福岡市東区"/>
        <s v="40132 福岡市博多区"/>
        <s v="40133 福岡市中央区"/>
        <s v="40134 福岡市南区"/>
        <s v="40135 福岡市西区"/>
        <s v="40136 福岡市城南区"/>
        <s v="40137 福岡市早良区"/>
        <s v="40202 大牟田市"/>
        <s v="40203 久留米市"/>
        <s v="40204 直方市"/>
        <s v="40205 飯塚市"/>
        <s v="40206 田川市"/>
        <s v="40207 柳川市"/>
        <s v="40210 八女市"/>
        <s v="40211 筑後市"/>
        <s v="40212 大川市"/>
        <s v="40213 行橋市"/>
        <s v="40214 豊前市"/>
        <s v="40215 中間市"/>
        <s v="40216 小郡市"/>
        <s v="40217 筑紫野市"/>
        <s v="40218 春日市"/>
        <s v="40219 大野城市"/>
        <s v="40220 宗像市"/>
        <s v="40221 太宰府市"/>
        <s v="40223 古賀市"/>
        <s v="40224 福津市"/>
        <s v="40225 うきは市"/>
        <s v="40226 宮若市"/>
        <s v="40227 嘉麻市"/>
        <s v="40228 朝倉市"/>
        <s v="40229 みやま市"/>
        <s v="40230 糸島市"/>
        <s v="40231 那珂川市"/>
        <s v="40341 糟屋郡宇美町"/>
        <s v="40342 糟屋郡篠栗町"/>
        <s v="40343 糟屋郡志免町"/>
        <s v="40344 糟屋郡須恵町"/>
        <s v="40345 糟屋郡新宮町"/>
        <s v="40348 糟屋郡久山町"/>
        <s v="40349 糟屋郡粕屋町"/>
        <s v="40381 遠賀郡芦屋町"/>
        <s v="40382 遠賀郡水巻町"/>
        <s v="40383 遠賀郡岡垣町"/>
        <s v="40384 遠賀郡遠賀町"/>
        <s v="40401 鞍手郡小竹町"/>
        <s v="40402 鞍手郡鞍手町"/>
        <s v="40421 嘉穂郡桂川町"/>
        <s v="40447 朝倉郡筑前町"/>
        <s v="40448 朝倉郡東峰村"/>
        <s v="40503 三井郡大刀洗町"/>
        <s v="40522 三潴郡大木町"/>
        <s v="40544 八女郡広川町"/>
        <s v="40601 田川郡香春町"/>
        <s v="40602 田川郡添田町"/>
        <s v="40604 田川郡糸田町"/>
        <s v="40605 田川郡川崎町"/>
        <s v="40608 田川郡大任町"/>
        <s v="40609 田川郡赤村"/>
        <s v="40610 田川郡福智町"/>
        <s v="40621 京都郡苅田町"/>
        <s v="40625 京都郡みやこ町"/>
        <s v="40642 築上郡吉富町"/>
        <s v="40646 築上郡上毛町"/>
        <s v="40647 築上郡築上町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29081"/>
    </cacheField>
    <cacheField name="構成比" numFmtId="0" sqlType="3">
      <sharedItems containsSemiMixedTypes="0" containsString="0" containsNumber="1" minValue="0" maxValue="38"/>
    </cacheField>
    <cacheField name="総数（個人）" numFmtId="0" sqlType="4">
      <sharedItems containsSemiMixedTypes="0" containsString="0" containsNumber="1" containsInteger="1" minValue="0" maxValue="12465"/>
    </cacheField>
    <cacheField name="構成比（個人）" numFmtId="0" sqlType="3">
      <sharedItems containsSemiMixedTypes="0" containsString="0" containsNumber="1" minValue="0" maxValue="41.89"/>
    </cacheField>
    <cacheField name="総数（法人）" numFmtId="0" sqlType="4">
      <sharedItems containsSemiMixedTypes="0" containsString="0" containsNumber="1" containsInteger="1" minValue="0" maxValue="16588"/>
    </cacheField>
    <cacheField name="構成比（法人）" numFmtId="0" sqlType="3">
      <sharedItems containsSemiMixedTypes="0" containsString="0" containsNumber="1" minValue="0" maxValue="53.85"/>
    </cacheField>
    <cacheField name="総数（法人以外の団体）" numFmtId="0" sqlType="4">
      <sharedItems containsSemiMixedTypes="0" containsString="0" containsNumber="1" containsInteger="1" minValue="0" maxValue="75" count="19">
        <n v="0"/>
        <n v="1"/>
        <n v="19"/>
        <n v="3"/>
        <n v="10"/>
        <n v="28"/>
        <n v="12"/>
        <n v="14"/>
        <n v="75"/>
        <n v="50"/>
        <n v="2"/>
        <n v="5"/>
        <n v="16"/>
        <n v="7"/>
        <n v="4"/>
        <n v="6"/>
        <n v="8"/>
        <n v="13"/>
        <n v="2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6639467595" createdVersion="5" refreshedVersion="8" minRefreshableVersion="3" recordCount="1622" xr:uid="{5F12D232-D75C-438A-9B0D-065FCBD17190}">
  <cacheSource type="external" connectionId="2"/>
  <cacheFields count="14">
    <cacheField name="都道府県" numFmtId="0" sqlType="-9">
      <sharedItems count="1">
        <s v="40 福岡県"/>
      </sharedItems>
    </cacheField>
    <cacheField name="自治体名" numFmtId="0" sqlType="-9">
      <sharedItems count="75">
        <s v="福岡県"/>
        <s v="北九州市"/>
        <s v="北九州市門司区"/>
        <s v="北九州市若松区"/>
        <s v="北九州市戸畑区"/>
        <s v="北九州市小倉北区"/>
        <s v="北九州市小倉南区"/>
        <s v="北九州市八幡東区"/>
        <s v="北九州市八幡西区"/>
        <s v="福岡市"/>
        <s v="福岡市東区"/>
        <s v="福岡市博多区"/>
        <s v="福岡市中央区"/>
        <s v="福岡市南区"/>
        <s v="福岡市西区"/>
        <s v="福岡市城南区"/>
        <s v="福岡市早良区"/>
        <s v="大牟田市"/>
        <s v="久留米市"/>
        <s v="直方市"/>
        <s v="飯塚市"/>
        <s v="田川市"/>
        <s v="柳川市"/>
        <s v="八女市"/>
        <s v="筑後市"/>
        <s v="大川市"/>
        <s v="行橋市"/>
        <s v="豊前市"/>
        <s v="中間市"/>
        <s v="小郡市"/>
        <s v="筑紫野市"/>
        <s v="春日市"/>
        <s v="大野城市"/>
        <s v="宗像市"/>
        <s v="太宰府市"/>
        <s v="古賀市"/>
        <s v="福津市"/>
        <s v="うきは市"/>
        <s v="宮若市"/>
        <s v="嘉麻市"/>
        <s v="朝倉市"/>
        <s v="みやま市"/>
        <s v="糸島市"/>
        <s v="那珂川市"/>
        <s v="糟屋郡宇美町"/>
        <s v="糟屋郡篠栗町"/>
        <s v="糟屋郡志免町"/>
        <s v="糟屋郡須恵町"/>
        <s v="糟屋郡新宮町"/>
        <s v="糟屋郡久山町"/>
        <s v="糟屋郡粕屋町"/>
        <s v="遠賀郡芦屋町"/>
        <s v="遠賀郡水巻町"/>
        <s v="遠賀郡岡垣町"/>
        <s v="遠賀郡遠賀町"/>
        <s v="鞍手郡小竹町"/>
        <s v="鞍手郡鞍手町"/>
        <s v="嘉穂郡桂川町"/>
        <s v="朝倉郡筑前町"/>
        <s v="朝倉郡東峰村"/>
        <s v="三井郡大刀洗町"/>
        <s v="三潴郡大木町"/>
        <s v="八女郡広川町"/>
        <s v="田川郡香春町"/>
        <s v="田川郡添田町"/>
        <s v="田川郡糸田町"/>
        <s v="田川郡川崎町"/>
        <s v="田川郡大任町"/>
        <s v="田川郡赤村"/>
        <s v="田川郡福智町"/>
        <s v="京都郡苅田町"/>
        <s v="京都郡みやこ町"/>
        <s v="築上郡吉富町"/>
        <s v="築上郡上毛町"/>
        <s v="築上郡築上町"/>
      </sharedItems>
    </cacheField>
    <cacheField name="自治体" numFmtId="0" sqlType="-9">
      <sharedItems count="75">
        <s v="40000 福岡県"/>
        <s v="40100 北九州市"/>
        <s v="40101 北九州市門司区"/>
        <s v="40103 北九州市若松区"/>
        <s v="40105 北九州市戸畑区"/>
        <s v="40106 北九州市小倉北区"/>
        <s v="40107 北九州市小倉南区"/>
        <s v="40108 北九州市八幡東区"/>
        <s v="40109 北九州市八幡西区"/>
        <s v="40130 福岡市"/>
        <s v="40131 福岡市東区"/>
        <s v="40132 福岡市博多区"/>
        <s v="40133 福岡市中央区"/>
        <s v="40134 福岡市南区"/>
        <s v="40135 福岡市西区"/>
        <s v="40136 福岡市城南区"/>
        <s v="40137 福岡市早良区"/>
        <s v="40202 大牟田市"/>
        <s v="40203 久留米市"/>
        <s v="40204 直方市"/>
        <s v="40205 飯塚市"/>
        <s v="40206 田川市"/>
        <s v="40207 柳川市"/>
        <s v="40210 八女市"/>
        <s v="40211 筑後市"/>
        <s v="40212 大川市"/>
        <s v="40213 行橋市"/>
        <s v="40214 豊前市"/>
        <s v="40215 中間市"/>
        <s v="40216 小郡市"/>
        <s v="40217 筑紫野市"/>
        <s v="40218 春日市"/>
        <s v="40219 大野城市"/>
        <s v="40220 宗像市"/>
        <s v="40221 太宰府市"/>
        <s v="40223 古賀市"/>
        <s v="40224 福津市"/>
        <s v="40225 うきは市"/>
        <s v="40226 宮若市"/>
        <s v="40227 嘉麻市"/>
        <s v="40228 朝倉市"/>
        <s v="40229 みやま市"/>
        <s v="40230 糸島市"/>
        <s v="40231 那珂川市"/>
        <s v="40341 糟屋郡宇美町"/>
        <s v="40342 糟屋郡篠栗町"/>
        <s v="40343 糟屋郡志免町"/>
        <s v="40344 糟屋郡須恵町"/>
        <s v="40345 糟屋郡新宮町"/>
        <s v="40348 糟屋郡久山町"/>
        <s v="40349 糟屋郡粕屋町"/>
        <s v="40381 遠賀郡芦屋町"/>
        <s v="40382 遠賀郡水巻町"/>
        <s v="40383 遠賀郡岡垣町"/>
        <s v="40384 遠賀郡遠賀町"/>
        <s v="40401 鞍手郡小竹町"/>
        <s v="40402 鞍手郡鞍手町"/>
        <s v="40421 嘉穂郡桂川町"/>
        <s v="40447 朝倉郡筑前町"/>
        <s v="40448 朝倉郡東峰村"/>
        <s v="40503 三井郡大刀洗町"/>
        <s v="40522 三潴郡大木町"/>
        <s v="40544 八女郡広川町"/>
        <s v="40601 田川郡香春町"/>
        <s v="40602 田川郡添田町"/>
        <s v="40604 田川郡糸田町"/>
        <s v="40605 田川郡川崎町"/>
        <s v="40608 田川郡大任町"/>
        <s v="40609 田川郡赤村"/>
        <s v="40610 田川郡福智町"/>
        <s v="40621 京都郡苅田町"/>
        <s v="40625 京都郡みやこ町"/>
        <s v="40642 築上郡吉富町"/>
        <s v="40646 築上郡上毛町"/>
        <s v="40647 築上郡築上町"/>
      </sharedItems>
    </cacheField>
    <cacheField name="産業分類コード" numFmtId="0" sqlType="-8">
      <sharedItems count="54">
        <s v="76"/>
        <s v="78"/>
        <s v="69"/>
        <s v="60"/>
        <s v="06"/>
        <s v="58"/>
        <s v="07"/>
        <s v="72"/>
        <s v="08"/>
        <s v="83"/>
        <s v="82"/>
        <s v="59"/>
        <s v="57"/>
        <s v="74"/>
        <s v="54"/>
        <s v="68"/>
        <s v="55"/>
        <s v="53"/>
        <s v="85"/>
        <s v="92"/>
        <s v="79"/>
        <s v="77"/>
        <s v="48"/>
        <s v="24"/>
        <s v="67"/>
        <s v="89"/>
        <s v="52"/>
        <s v="39"/>
        <s v="61"/>
        <s v="80"/>
        <s v="26"/>
        <s v="25"/>
        <s v="13"/>
        <s v="32"/>
        <s v="09"/>
        <s v="10"/>
        <s v="11"/>
        <s v="12"/>
        <s v="21"/>
        <s v="44"/>
        <s v="43"/>
        <s v="90"/>
        <s v="70"/>
        <s v="40"/>
        <s v="15"/>
        <s v="22"/>
        <s v="31"/>
        <s v="28"/>
        <s v="33"/>
        <s v="88"/>
        <s v="36"/>
        <s v="95"/>
        <s v="18"/>
        <s v="75"/>
      </sharedItems>
    </cacheField>
    <cacheField name="産業分類" numFmtId="0" sqlType="-9">
      <sharedItems count="54">
        <s v="飲食店"/>
        <s v="洗濯・理容・美容・浴場業"/>
        <s v="不動産賃貸業・管理業"/>
        <s v="その他の小売業"/>
        <s v="総合工事業"/>
        <s v="飲食料品小売業"/>
        <s v="職別工事業（設備工事業を除く）"/>
        <s v="専門サービス業（他に分類されないもの）"/>
        <s v="設備工事業"/>
        <s v="医療業"/>
        <s v="その他の教育，学習支援業"/>
        <s v="機械器具小売業"/>
        <s v="織物・衣服・身の回り品小売業"/>
        <s v="技術サービス業（他に分類されないもの）"/>
        <s v="機械器具卸売業"/>
        <s v="不動産取引業"/>
        <s v="その他の卸売業"/>
        <s v="建築材料，鉱物・金属材料等卸売業"/>
        <s v="社会保険・社会福祉・介護事業"/>
        <s v="その他の事業サービス業"/>
        <s v="その他の生活関連サービス業"/>
        <s v="持ち帰り・配達飲食サービス業"/>
        <s v="運輸に附帯するサービス業"/>
        <s v="金属製品製造業"/>
        <s v="保険業（保険媒介代理業，保険サービス業を含む）"/>
        <s v="自動車整備業"/>
        <s v="飲食料品卸売業"/>
        <s v="情報サービス業"/>
        <s v="無店舗小売業"/>
        <s v="娯楽業"/>
        <s v="生産用機械器具製造業"/>
        <s v="はん用機械器具製造業"/>
        <s v="家具・装備品製造業"/>
        <s v="その他の製造業"/>
        <s v="食料品製造業"/>
        <s v="飲料・たばこ・飼料製造業"/>
        <s v="繊維工業"/>
        <s v="木材・木製品製造業（家具を除く）"/>
        <s v="窯業・土石製品製造業"/>
        <s v="道路貨物運送業"/>
        <s v="道路旅客運送業"/>
        <s v="機械等修理業（別掲を除く）"/>
        <s v="物品賃貸業"/>
        <s v="インターネット附随サービス業"/>
        <s v="印刷・同関連業"/>
        <s v="鉄鋼業"/>
        <s v="輸送用機械器具製造業"/>
        <s v="電子部品・デバイス・電子回路製造業"/>
        <s v="電気業"/>
        <s v="廃棄物処理業"/>
        <s v="水道業"/>
        <s v="その他のサービス業"/>
        <s v="プラスチック製品製造業（別掲を除く）"/>
        <s v="宿泊業"/>
      </sharedItems>
    </cacheField>
    <cacheField name="産業中分類" numFmtId="0" sqlType="-9">
      <sharedItems count="54">
        <s v="76 飲食店"/>
        <s v="78 洗濯・理容・美容・浴場業"/>
        <s v="69 不動産賃貸業・管理業"/>
        <s v="60 その他の小売業"/>
        <s v="06 総合工事業"/>
        <s v="58 飲食料品小売業"/>
        <s v="07 職別工事業（設備工事業を除く）"/>
        <s v="72 専門サービス業（他に分類されないもの）"/>
        <s v="08 設備工事業"/>
        <s v="83 医療業"/>
        <s v="82 その他の教育，学習支援業"/>
        <s v="59 機械器具小売業"/>
        <s v="57 織物・衣服・身の回り品小売業"/>
        <s v="74 技術サービス業（他に分類されないもの）"/>
        <s v="54 機械器具卸売業"/>
        <s v="68 不動産取引業"/>
        <s v="55 その他の卸売業"/>
        <s v="53 建築材料，鉱物・金属材料等卸売業"/>
        <s v="85 社会保険・社会福祉・介護事業"/>
        <s v="92 その他の事業サービス業"/>
        <s v="79 その他の生活関連サービス業"/>
        <s v="77 持ち帰り・配達飲食サービス業"/>
        <s v="48 運輸に附帯するサービス業"/>
        <s v="24 金属製品製造業"/>
        <s v="67 保険業（保険媒介代理業，保険サービス業を含む）"/>
        <s v="89 自動車整備業"/>
        <s v="52 飲食料品卸売業"/>
        <s v="39 情報サービス業"/>
        <s v="61 無店舗小売業"/>
        <s v="80 娯楽業"/>
        <s v="26 生産用機械器具製造業"/>
        <s v="25 はん用機械器具製造業"/>
        <s v="13 家具・装備品製造業"/>
        <s v="32 その他の製造業"/>
        <s v="09 食料品製造業"/>
        <s v="10 飲料・たばこ・飼料製造業"/>
        <s v="11 繊維工業"/>
        <s v="12 木材・木製品製造業（家具を除く）"/>
        <s v="21 窯業・土石製品製造業"/>
        <s v="44 道路貨物運送業"/>
        <s v="43 道路旅客運送業"/>
        <s v="90 機械等修理業（別掲を除く）"/>
        <s v="70 物品賃貸業"/>
        <s v="40 インターネット附随サービス業"/>
        <s v="15 印刷・同関連業"/>
        <s v="22 鉄鋼業"/>
        <s v="31 輸送用機械器具製造業"/>
        <s v="28 電子部品・デバイス・電子回路製造業"/>
        <s v="33 電気業"/>
        <s v="88 廃棄物処理業"/>
        <s v="36 水道業"/>
        <s v="95 その他のサービス業"/>
        <s v="18 プラスチック製品製造業（別掲を除く）"/>
        <s v="75 宿泊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12479" count="328">
        <n v="12479"/>
        <n v="11279"/>
        <n v="8473"/>
        <n v="7362"/>
        <n v="7082"/>
        <n v="5715"/>
        <n v="4481"/>
        <n v="4133"/>
        <n v="4038"/>
        <n v="4034"/>
        <n v="3802"/>
        <n v="3292"/>
        <n v="3050"/>
        <n v="2522"/>
        <n v="2419"/>
        <n v="2134"/>
        <n v="2115"/>
        <n v="1912"/>
        <n v="1867"/>
        <n v="1659"/>
        <n v="2584"/>
        <n v="2241"/>
        <n v="2088"/>
        <n v="1497"/>
        <n v="1315"/>
        <n v="915"/>
        <n v="844"/>
        <n v="822"/>
        <n v="678"/>
        <n v="669"/>
        <n v="610"/>
        <n v="541"/>
        <n v="420"/>
        <n v="401"/>
        <n v="369"/>
        <n v="366"/>
        <n v="338"/>
        <n v="323"/>
        <n v="316"/>
        <n v="304"/>
        <n v="216"/>
        <n v="209"/>
        <n v="200"/>
        <n v="163"/>
        <n v="134"/>
        <n v="72"/>
        <n v="70"/>
        <n v="67"/>
        <n v="62"/>
        <n v="61"/>
        <n v="59"/>
        <n v="45"/>
        <n v="33"/>
        <n v="30"/>
        <n v="29"/>
        <n v="27"/>
        <n v="25"/>
        <n v="197"/>
        <n v="149"/>
        <n v="143"/>
        <n v="117"/>
        <n v="115"/>
        <n v="109"/>
        <n v="68"/>
        <n v="66"/>
        <n v="58"/>
        <n v="50"/>
        <n v="46"/>
        <n v="41"/>
        <n v="39"/>
        <n v="35"/>
        <n v="26"/>
        <n v="23"/>
        <n v="158"/>
        <n v="142"/>
        <n v="105"/>
        <n v="102"/>
        <n v="53"/>
        <n v="52"/>
        <n v="47"/>
        <n v="44"/>
        <n v="31"/>
        <n v="28"/>
        <n v="24"/>
        <n v="20"/>
        <n v="19"/>
        <n v="945"/>
        <n v="593"/>
        <n v="540"/>
        <n v="437"/>
        <n v="343"/>
        <n v="252"/>
        <n v="242"/>
        <n v="236"/>
        <n v="204"/>
        <n v="177"/>
        <n v="159"/>
        <n v="150"/>
        <n v="148"/>
        <n v="120"/>
        <n v="108"/>
        <n v="101"/>
        <n v="99"/>
        <n v="97"/>
        <n v="89"/>
        <n v="365"/>
        <n v="226"/>
        <n v="210"/>
        <n v="207"/>
        <n v="171"/>
        <n v="139"/>
        <n v="123"/>
        <n v="93"/>
        <n v="87"/>
        <n v="56"/>
        <n v="193"/>
        <n v="185"/>
        <n v="132"/>
        <n v="122"/>
        <n v="83"/>
        <n v="73"/>
        <n v="65"/>
        <n v="64"/>
        <n v="54"/>
        <n v="34"/>
        <n v="22"/>
        <n v="18"/>
        <n v="633"/>
        <n v="623"/>
        <n v="425"/>
        <n v="373"/>
        <n v="349"/>
        <n v="249"/>
        <n v="241"/>
        <n v="239"/>
        <n v="215"/>
        <n v="166"/>
        <n v="160"/>
        <n v="153"/>
        <n v="118"/>
        <n v="111"/>
        <n v="94"/>
        <n v="79"/>
        <n v="78"/>
        <n v="77"/>
        <n v="69"/>
        <n v="4833"/>
        <n v="3400"/>
        <n v="3320"/>
        <n v="2189"/>
        <n v="1999"/>
        <n v="1581"/>
        <n v="1395"/>
        <n v="1365"/>
        <n v="1350"/>
        <n v="1260"/>
        <n v="1224"/>
        <n v="1184"/>
        <n v="1145"/>
        <n v="1056"/>
        <n v="1039"/>
        <n v="958"/>
        <n v="863"/>
        <n v="759"/>
        <n v="690"/>
        <n v="646"/>
        <n v="446"/>
        <n v="438"/>
        <n v="423"/>
        <n v="247"/>
        <n v="235"/>
        <n v="201"/>
        <n v="183"/>
        <n v="128"/>
        <n v="100"/>
        <n v="91"/>
        <n v="1417"/>
        <n v="727"/>
        <n v="719"/>
        <n v="500"/>
        <n v="478"/>
        <n v="379"/>
        <n v="340"/>
        <n v="336"/>
        <n v="317"/>
        <n v="305"/>
        <n v="299"/>
        <n v="273"/>
        <n v="257"/>
        <n v="244"/>
        <n v="232"/>
        <n v="230"/>
        <n v="227"/>
        <n v="187"/>
        <n v="1614"/>
        <n v="1047"/>
        <n v="846"/>
        <n v="840"/>
        <n v="565"/>
        <n v="538"/>
        <n v="357"/>
        <n v="330"/>
        <n v="321"/>
        <n v="271"/>
        <n v="266"/>
        <n v="263"/>
        <n v="191"/>
        <n v="164"/>
        <n v="156"/>
        <n v="145"/>
        <n v="144"/>
        <n v="607"/>
        <n v="523"/>
        <n v="488"/>
        <n v="292"/>
        <n v="224"/>
        <n v="222"/>
        <n v="217"/>
        <n v="203"/>
        <n v="195"/>
        <n v="188"/>
        <n v="138"/>
        <n v="121"/>
        <n v="104"/>
        <n v="96"/>
        <n v="76"/>
        <n v="302"/>
        <n v="231"/>
        <n v="218"/>
        <n v="186"/>
        <n v="179"/>
        <n v="127"/>
        <n v="82"/>
        <n v="48"/>
        <n v="40"/>
        <n v="277"/>
        <n v="199"/>
        <n v="113"/>
        <n v="107"/>
        <n v="85"/>
        <n v="71"/>
        <n v="32"/>
        <n v="465"/>
        <n v="456"/>
        <n v="326"/>
        <n v="229"/>
        <n v="206"/>
        <n v="174"/>
        <n v="161"/>
        <n v="157"/>
        <n v="129"/>
        <n v="125"/>
        <n v="92"/>
        <n v="63"/>
        <n v="57"/>
        <n v="388"/>
        <n v="350"/>
        <n v="184"/>
        <n v="116"/>
        <n v="114"/>
        <n v="106"/>
        <n v="55"/>
        <n v="51"/>
        <n v="42"/>
        <n v="38"/>
        <n v="826"/>
        <n v="762"/>
        <n v="520"/>
        <n v="457"/>
        <n v="411"/>
        <n v="328"/>
        <n v="280"/>
        <n v="272"/>
        <n v="251"/>
        <n v="182"/>
        <n v="135"/>
        <n v="133"/>
        <n v="95"/>
        <n v="152"/>
        <n v="137"/>
        <n v="43"/>
        <n v="36"/>
        <n v="21"/>
        <n v="356"/>
        <n v="327"/>
        <n v="212"/>
        <n v="110"/>
        <n v="88"/>
        <n v="74"/>
        <n v="49"/>
        <n v="175"/>
        <n v="169"/>
        <n v="119"/>
        <n v="37"/>
        <n v="16"/>
        <n v="14"/>
        <n v="13"/>
        <n v="167"/>
        <n v="131"/>
        <n v="126"/>
        <n v="86"/>
        <n v="103"/>
        <n v="124"/>
        <n v="17"/>
        <n v="15"/>
        <n v="98"/>
        <n v="146"/>
        <n v="75"/>
        <n v="12"/>
        <n v="11"/>
        <n v="8"/>
        <n v="6"/>
        <n v="60"/>
        <n v="90"/>
        <n v="81"/>
        <n v="228"/>
        <n v="84"/>
        <n v="223"/>
        <n v="151"/>
        <n v="136"/>
        <n v="9"/>
        <n v="7"/>
        <n v="10"/>
        <n v="5"/>
        <n v="4"/>
        <n v="3"/>
        <n v="2"/>
        <n v="1"/>
      </sharedItems>
    </cacheField>
    <cacheField name="構成比" numFmtId="0" sqlType="3">
      <sharedItems containsSemiMixedTypes="0" containsString="0" containsNumber="1" minValue="0.8" maxValue="31" count="660">
        <n v="10.74"/>
        <n v="9.7100000000000009"/>
        <n v="7.29"/>
        <n v="6.34"/>
        <n v="6.1"/>
        <n v="4.92"/>
        <n v="3.86"/>
        <n v="3.56"/>
        <n v="3.48"/>
        <n v="3.47"/>
        <n v="3.27"/>
        <n v="2.83"/>
        <n v="2.63"/>
        <n v="2.17"/>
        <n v="2.08"/>
        <n v="1.84"/>
        <n v="1.82"/>
        <n v="1.65"/>
        <n v="1.61"/>
        <n v="1.43"/>
        <n v="11.49"/>
        <n v="9.9700000000000006"/>
        <n v="9.2799999999999994"/>
        <n v="6.66"/>
        <n v="5.85"/>
        <n v="4.07"/>
        <n v="3.75"/>
        <n v="3.66"/>
        <n v="3.01"/>
        <n v="2.97"/>
        <n v="2.71"/>
        <n v="2.41"/>
        <n v="1.87"/>
        <n v="1.78"/>
        <n v="1.64"/>
        <n v="1.63"/>
        <n v="1.5"/>
        <n v="1.44"/>
        <n v="1.41"/>
        <n v="13.34"/>
        <n v="9.48"/>
        <n v="9.17"/>
        <n v="8.7799999999999994"/>
        <n v="7.15"/>
        <n v="5.88"/>
        <n v="3.16"/>
        <n v="3.07"/>
        <n v="2.94"/>
        <n v="2.72"/>
        <n v="2.68"/>
        <n v="2.59"/>
        <n v="1.97"/>
        <n v="1.45"/>
        <n v="1.32"/>
        <n v="1.27"/>
        <n v="1.18"/>
        <n v="1.1000000000000001"/>
        <n v="10.71"/>
        <n v="8.1"/>
        <n v="7.78"/>
        <n v="6.36"/>
        <n v="6.25"/>
        <n v="5.93"/>
        <n v="3.81"/>
        <n v="3.7"/>
        <n v="3.64"/>
        <n v="3.59"/>
        <n v="3.15"/>
        <n v="2.5"/>
        <n v="2.23"/>
        <n v="2.12"/>
        <n v="1.9"/>
        <n v="1.36"/>
        <n v="1.25"/>
        <n v="13.77"/>
        <n v="10.41"/>
        <n v="9.35"/>
        <n v="6.92"/>
        <n v="6.72"/>
        <n v="4.6100000000000003"/>
        <n v="3.82"/>
        <n v="3.49"/>
        <n v="3.43"/>
        <n v="3.1"/>
        <n v="2.9"/>
        <n v="2.04"/>
        <n v="1.71"/>
        <n v="1.58"/>
        <n v="15.33"/>
        <n v="9.6199999999999992"/>
        <n v="8.76"/>
        <n v="7.09"/>
        <n v="5.56"/>
        <n v="4.09"/>
        <n v="3.92"/>
        <n v="3.83"/>
        <n v="3.31"/>
        <n v="2.87"/>
        <n v="2.58"/>
        <n v="2.4300000000000002"/>
        <n v="2.4"/>
        <n v="1.95"/>
        <n v="1.75"/>
        <n v="1.57"/>
        <n v="10.1"/>
        <n v="8.74"/>
        <n v="8.41"/>
        <n v="5.81"/>
        <n v="5.78"/>
        <n v="5.73"/>
        <n v="4.7300000000000004"/>
        <n v="4.12"/>
        <n v="3.85"/>
        <n v="3.4"/>
        <n v="2.57"/>
        <n v="1.99"/>
        <n v="1.94"/>
        <n v="1.85"/>
        <n v="1.72"/>
        <n v="1.6"/>
        <n v="1.55"/>
        <n v="11.39"/>
        <n v="10.91"/>
        <n v="9.32"/>
        <n v="7.79"/>
        <n v="7.2"/>
        <n v="4.9000000000000004"/>
        <n v="4.3099999999999996"/>
        <n v="3.78"/>
        <n v="3.19"/>
        <n v="2.77"/>
        <n v="2.0099999999999998"/>
        <n v="1.53"/>
        <n v="1.47"/>
        <n v="1.42"/>
        <n v="1.3"/>
        <n v="1.06"/>
        <n v="11.77"/>
        <n v="11.59"/>
        <n v="7.9"/>
        <n v="6.94"/>
        <n v="6.49"/>
        <n v="4.63"/>
        <n v="4.4800000000000004"/>
        <n v="4.4400000000000004"/>
        <n v="4"/>
        <n v="3.09"/>
        <n v="2.98"/>
        <n v="2.85"/>
        <n v="2.19"/>
        <n v="2.06"/>
        <n v="1.8"/>
        <n v="1.28"/>
        <n v="12.32"/>
        <n v="8.67"/>
        <n v="8.4600000000000009"/>
        <n v="5.58"/>
        <n v="5.09"/>
        <n v="4.03"/>
        <n v="3.44"/>
        <n v="3.21"/>
        <n v="3.12"/>
        <n v="3.02"/>
        <n v="2.92"/>
        <n v="2.69"/>
        <n v="2.65"/>
        <n v="2.44"/>
        <n v="2.2000000000000002"/>
        <n v="1.93"/>
        <n v="1.76"/>
        <n v="9.5299999999999994"/>
        <n v="9.36"/>
        <n v="9.0399999999999991"/>
        <n v="5.28"/>
        <n v="5.0199999999999996"/>
        <n v="4.3"/>
        <n v="3.91"/>
        <n v="3.04"/>
        <n v="2.86"/>
        <n v="2.82"/>
        <n v="2.74"/>
        <n v="2.37"/>
        <n v="2.31"/>
        <n v="2.1800000000000002"/>
        <n v="2.14"/>
        <n v="1.86"/>
        <n v="7.07"/>
        <n v="6.99"/>
        <n v="4.8600000000000003"/>
        <n v="4.6500000000000004"/>
        <n v="4.08"/>
        <n v="3.68"/>
        <n v="3.3"/>
        <n v="3.08"/>
        <n v="2.96"/>
        <n v="2.91"/>
        <n v="2.25"/>
        <n v="2.2400000000000002"/>
        <n v="2.21"/>
        <n v="16.28"/>
        <n v="10.56"/>
        <n v="8.5299999999999994"/>
        <n v="8.4700000000000006"/>
        <n v="5.7"/>
        <n v="5.43"/>
        <n v="3.6"/>
        <n v="3.33"/>
        <n v="3.24"/>
        <n v="2.73"/>
        <n v="1.46"/>
        <n v="11.54"/>
        <n v="9.9499999999999993"/>
        <n v="5.69"/>
        <n v="5.55"/>
        <n v="4.26"/>
        <n v="4.22"/>
        <n v="4.13"/>
        <n v="3.97"/>
        <n v="3.71"/>
        <n v="3.58"/>
        <n v="2.62"/>
        <n v="2.2999999999999998"/>
        <n v="2.11"/>
        <n v="1.98"/>
        <n v="1.83"/>
        <n v="1.79"/>
        <n v="1.29"/>
        <n v="10.01"/>
        <n v="7.66"/>
        <n v="7.53"/>
        <n v="7.23"/>
        <n v="6.17"/>
        <n v="5.94"/>
        <n v="4.97"/>
        <n v="4.71"/>
        <n v="4.21"/>
        <n v="3.38"/>
        <n v="2.39"/>
        <n v="1.59"/>
        <n v="1.56"/>
        <n v="1.33"/>
        <n v="13.56"/>
        <n v="11.55"/>
        <n v="9.74"/>
        <n v="5.53"/>
        <n v="5.24"/>
        <n v="4.5999999999999996"/>
        <n v="4.16"/>
        <n v="4.0599999999999996"/>
        <n v="2.89"/>
        <n v="2.64"/>
        <n v="1.52"/>
        <n v="1.17"/>
        <n v="11.53"/>
        <n v="11.3"/>
        <n v="8.08"/>
        <n v="5.68"/>
        <n v="5.1100000000000003"/>
        <n v="4.59"/>
        <n v="4.54"/>
        <n v="3.99"/>
        <n v="3.89"/>
        <n v="3.2"/>
        <n v="2.2799999999999998"/>
        <n v="1.88"/>
        <n v="1.39"/>
        <n v="13.18"/>
        <n v="11.89"/>
        <n v="8.94"/>
        <n v="6.63"/>
        <n v="5.2"/>
        <n v="3.94"/>
        <n v="3.87"/>
        <n v="3.53"/>
        <n v="3.36"/>
        <n v="1.73"/>
        <n v="11.48"/>
        <n v="10.6"/>
        <n v="6.35"/>
        <n v="5.71"/>
        <n v="4.5599999999999996"/>
        <n v="2.99"/>
        <n v="2.5299999999999998"/>
        <n v="2"/>
        <n v="1.92"/>
        <n v="10.82"/>
        <n v="9.75"/>
        <n v="9.18"/>
        <n v="7.12"/>
        <n v="6.62"/>
        <n v="3.63"/>
        <n v="3.35"/>
        <n v="3.06"/>
        <n v="2.7"/>
        <n v="2.56"/>
        <n v="1.49"/>
        <n v="1.35"/>
        <n v="12.44"/>
        <n v="11.43"/>
        <n v="7.41"/>
        <n v="5.63"/>
        <n v="4.37"/>
        <n v="3.84"/>
        <n v="3.46"/>
        <n v="2.27"/>
        <n v="2.13"/>
        <n v="1.89"/>
        <n v="1.4"/>
        <n v="13.99"/>
        <n v="13.51"/>
        <n v="9.51"/>
        <n v="7.99"/>
        <n v="5.76"/>
        <n v="3.52"/>
        <n v="2.88"/>
        <n v="2.8"/>
        <n v="2.48"/>
        <n v="1.1200000000000001"/>
        <n v="1.04"/>
        <n v="8.34"/>
        <n v="7.92"/>
        <n v="7.62"/>
        <n v="6.95"/>
        <n v="4.2300000000000004"/>
        <n v="4.1100000000000003"/>
        <n v="2.6"/>
        <n v="2.54"/>
        <n v="9.9600000000000009"/>
        <n v="8.9"/>
        <n v="8.4499999999999993"/>
        <n v="7.73"/>
        <n v="7.34"/>
        <n v="3.5"/>
        <n v="3.23"/>
        <n v="3.11"/>
        <n v="2.67"/>
        <n v="11.7"/>
        <n v="9.06"/>
        <n v="6.89"/>
        <n v="6.04"/>
        <n v="4.53"/>
        <n v="4.43"/>
        <n v="4.1500000000000004"/>
        <n v="3.96"/>
        <n v="2.36"/>
        <n v="20.58"/>
        <n v="6.74"/>
        <n v="6.68"/>
        <n v="6.54"/>
        <n v="5.44"/>
        <n v="4.8899999999999997"/>
        <n v="2.5499999999999998"/>
        <n v="11.65"/>
        <n v="10.52"/>
        <n v="9.7799999999999994"/>
        <n v="7.77"/>
        <n v="7.64"/>
        <n v="4.42"/>
        <n v="3.55"/>
        <n v="3.42"/>
        <n v="3.22"/>
        <n v="1.21"/>
        <n v="11.83"/>
        <n v="9.67"/>
        <n v="8.33"/>
        <n v="8"/>
        <n v="7.17"/>
        <n v="5.67"/>
        <n v="4.33"/>
        <n v="3.67"/>
        <n v="3.17"/>
        <n v="2.33"/>
        <n v="1"/>
        <n v="13.36"/>
        <n v="10.49"/>
        <n v="6.84"/>
        <n v="6.4"/>
        <n v="6.07"/>
        <n v="2.3199999999999998"/>
        <n v="1.77"/>
        <n v="10.79"/>
        <n v="7.83"/>
        <n v="4.9800000000000004"/>
        <n v="3.8"/>
        <n v="2.4900000000000002"/>
        <n v="2.02"/>
        <n v="1.66"/>
        <n v="10.67"/>
        <n v="9.98"/>
        <n v="8.61"/>
        <n v="7.11"/>
        <n v="6.08"/>
        <n v="5.16"/>
        <n v="3.61"/>
        <n v="2.93"/>
        <n v="11.69"/>
        <n v="9.9"/>
        <n v="5.54"/>
        <n v="5.49"/>
        <n v="5.33"/>
        <n v="4.62"/>
        <n v="3.74"/>
        <n v="3.13"/>
        <n v="2.2599999999999998"/>
        <n v="2.1"/>
        <n v="1.74"/>
        <n v="1.69"/>
        <n v="10.14"/>
        <n v="8.32"/>
        <n v="6.86"/>
        <n v="5.14"/>
        <n v="4.6399999999999997"/>
        <n v="3.95"/>
        <n v="3.18"/>
        <n v="2.0499999999999998"/>
        <n v="1.91"/>
        <n v="12.57"/>
        <n v="9.83"/>
        <n v="8.82"/>
        <n v="5.42"/>
        <n v="5.27"/>
        <n v="4.1900000000000004"/>
        <n v="3.76"/>
        <n v="2.46"/>
        <n v="2.38"/>
        <n v="1.37"/>
        <n v="8.91"/>
        <n v="5.4"/>
        <n v="5.31"/>
        <n v="4.32"/>
        <n v="4.1399999999999997"/>
        <n v="3.51"/>
        <n v="2.52"/>
        <n v="2.34"/>
        <n v="2.0699999999999998"/>
        <n v="9.3699999999999992"/>
        <n v="7.7"/>
        <n v="5.47"/>
        <n v="5.29"/>
        <n v="5.19"/>
        <n v="4.3600000000000003"/>
        <n v="4.2699999999999996"/>
        <n v="3.62"/>
        <n v="11.21"/>
        <n v="10.09"/>
        <n v="9.07"/>
        <n v="5.98"/>
        <n v="5.79"/>
        <n v="4.95"/>
        <n v="4.49"/>
        <n v="13.02"/>
        <n v="10.63"/>
        <n v="9.73"/>
        <n v="8.3800000000000008"/>
        <n v="4.9400000000000004"/>
        <n v="4.79"/>
        <n v="2.84"/>
        <n v="1.05"/>
        <n v="13.4"/>
        <n v="10.210000000000001"/>
        <n v="8.09"/>
        <n v="6.6"/>
        <n v="4.68"/>
        <n v="4.04"/>
        <n v="1.7"/>
        <n v="14.27"/>
        <n v="10.07"/>
        <n v="8.25"/>
        <n v="4.34"/>
        <n v="1.96"/>
        <n v="1.68"/>
        <n v="1.26"/>
        <n v="10.42"/>
        <n v="10.35"/>
        <n v="10.199999999999999"/>
        <n v="8.31"/>
        <n v="5.82"/>
        <n v="4.76"/>
        <n v="3.93"/>
        <n v="1.51"/>
        <n v="12"/>
        <n v="11.1"/>
        <n v="8.49"/>
        <n v="7.25"/>
        <n v="5.0999999999999996"/>
        <n v="2.15"/>
        <n v="1.81"/>
        <n v="1.1299999999999999"/>
        <n v="10.62"/>
        <n v="8.2200000000000006"/>
        <n v="7.59"/>
        <n v="6.96"/>
        <n v="4.05"/>
        <n v="3.65"/>
        <n v="3.54"/>
        <n v="1.54"/>
        <n v="11.64"/>
        <n v="8.66"/>
        <n v="7.36"/>
        <n v="5.21"/>
        <n v="4.38"/>
        <n v="3.72"/>
        <n v="2.61"/>
        <n v="8.99"/>
        <n v="7.19"/>
        <n v="6.55"/>
        <n v="4.75"/>
        <n v="3.34"/>
        <n v="1.67"/>
        <n v="10.75"/>
        <n v="8.75"/>
        <n v="7.75"/>
        <n v="7"/>
        <n v="6.5"/>
        <n v="5"/>
        <n v="3.25"/>
        <n v="3"/>
        <n v="10.94"/>
        <n v="8.73"/>
        <n v="7.51"/>
        <n v="5.86"/>
        <n v="5.52"/>
        <n v="6.71"/>
        <n v="6.2"/>
        <n v="5.34"/>
        <n v="4.99"/>
        <n v="2.75"/>
        <n v="7.1"/>
        <n v="4.67"/>
        <n v="4.46"/>
        <n v="2.0299999999999998"/>
        <n v="1.62"/>
        <n v="9.85"/>
        <n v="8.3699999999999992"/>
        <n v="6.9"/>
        <n v="5.91"/>
        <n v="4.93"/>
        <n v="1.48"/>
        <n v="7.27"/>
        <n v="6.46"/>
        <n v="6.11"/>
        <n v="5.07"/>
        <n v="4.5"/>
        <n v="3.69"/>
        <n v="18.71"/>
        <n v="10.43"/>
        <n v="8.2799999999999994"/>
        <n v="6.44"/>
        <n v="3.37"/>
        <n v="1.23"/>
        <n v="0.92"/>
        <n v="12.67"/>
        <n v="5.65"/>
        <n v="4.87"/>
        <n v="4.29"/>
        <n v="3.9"/>
        <n v="11.91"/>
        <n v="9.26"/>
        <n v="7.94"/>
        <n v="7.37"/>
        <n v="6.81"/>
        <n v="10.87"/>
        <n v="5.05"/>
        <n v="15.27"/>
        <n v="10.69"/>
        <n v="6.87"/>
        <n v="3.05"/>
        <n v="2.29"/>
        <n v="15.59"/>
        <n v="7.35"/>
        <n v="4.41"/>
        <n v="2.35"/>
        <n v="14.35"/>
        <n v="12.5"/>
        <n v="6.02"/>
        <n v="4.17"/>
        <n v="2.78"/>
        <n v="0.93"/>
        <n v="9.8699999999999992"/>
        <n v="9.66"/>
        <n v="9.0299999999999994"/>
        <n v="7.14"/>
        <n v="6.93"/>
        <n v="6.3"/>
        <n v="5.25"/>
        <n v="3.57"/>
        <n v="20.8"/>
        <n v="20"/>
        <n v="9.6"/>
        <n v="5.6"/>
        <n v="4.8"/>
        <n v="0.8"/>
        <n v="11.28"/>
        <n v="10.119999999999999"/>
        <n v="6.23"/>
        <n v="5.84"/>
        <n v="5.0599999999999996"/>
        <n v="4.28"/>
        <n v="8.89"/>
        <n v="7.3"/>
        <n v="6.98"/>
        <n v="6.03"/>
        <n v="2.2200000000000002"/>
        <n v="11.27"/>
        <n v="7.28"/>
        <n v="6.57"/>
        <n v="4.6900000000000004"/>
        <n v="14.06"/>
        <n v="11.76"/>
        <n v="11.31"/>
        <n v="10.86"/>
        <n v="8.6"/>
        <n v="0.9"/>
        <n v="14.85"/>
        <n v="13.86"/>
        <n v="0.99"/>
        <n v="14.6"/>
        <n v="10.25"/>
        <n v="8.39"/>
        <n v="6.83"/>
        <n v="4.66"/>
        <n v="3.73"/>
        <n v="1.24"/>
        <n v="31"/>
        <n v="16"/>
        <n v="13"/>
        <n v="21.62"/>
        <n v="14.86"/>
        <n v="9.4600000000000009"/>
        <n v="8.11"/>
        <n v="6.76"/>
        <n v="16.329999999999998"/>
        <n v="10.8"/>
        <n v="9.3000000000000007"/>
        <n v="7.54"/>
        <n v="4.7699999999999996"/>
        <n v="2.76"/>
        <n v="1.01"/>
        <n v="10.7"/>
        <n v="1.1599999999999999"/>
        <n v="17.940000000000001"/>
        <n v="12.14"/>
        <n v="8.7100000000000009"/>
        <n v="16.96"/>
        <n v="13.39"/>
        <n v="9.82"/>
        <n v="8.93"/>
        <n v="5.36"/>
        <n v="0.89"/>
        <n v="17.12"/>
        <n v="12.61"/>
        <n v="10.81"/>
        <n v="5.41"/>
        <n v="17.91"/>
        <n v="11.5"/>
        <n v="9.09"/>
        <n v="8.02"/>
        <n v="4.55"/>
        <n v="4.01"/>
        <n v="1.07"/>
      </sharedItems>
    </cacheField>
    <cacheField name="総数（個人）" numFmtId="0" sqlType="4">
      <sharedItems containsSemiMixedTypes="0" containsString="0" containsNumber="1" containsInteger="1" minValue="0" maxValue="10811" count="228">
        <n v="10811"/>
        <n v="9258"/>
        <n v="2934"/>
        <n v="3644"/>
        <n v="1573"/>
        <n v="4085"/>
        <n v="1588"/>
        <n v="2339"/>
        <n v="904"/>
        <n v="3455"/>
        <n v="2400"/>
        <n v="2095"/>
        <n v="1295"/>
        <n v="894"/>
        <n v="204"/>
        <n v="396"/>
        <n v="322"/>
        <n v="253"/>
        <n v="41"/>
        <n v="134"/>
        <n v="2282"/>
        <n v="1859"/>
        <n v="1048"/>
        <n v="723"/>
        <n v="233"/>
        <n v="951"/>
        <n v="127"/>
        <n v="232"/>
        <n v="703"/>
        <n v="471"/>
        <n v="390"/>
        <n v="298"/>
        <n v="308"/>
        <n v="158"/>
        <n v="33"/>
        <n v="37"/>
        <n v="62"/>
        <n v="6"/>
        <n v="135"/>
        <n v="58"/>
        <n v="282"/>
        <n v="184"/>
        <n v="136"/>
        <n v="142"/>
        <n v="82"/>
        <n v="28"/>
        <n v="8"/>
        <n v="59"/>
        <n v="45"/>
        <n v="43"/>
        <n v="17"/>
        <n v="31"/>
        <n v="23"/>
        <n v="4"/>
        <n v="12"/>
        <n v="10"/>
        <n v="0"/>
        <n v="175"/>
        <n v="72"/>
        <n v="61"/>
        <n v="80"/>
        <n v="20"/>
        <n v="16"/>
        <n v="47"/>
        <n v="19"/>
        <n v="60"/>
        <n v="30"/>
        <n v="26"/>
        <n v="21"/>
        <n v="15"/>
        <n v="1"/>
        <n v="7"/>
        <n v="5"/>
        <n v="147"/>
        <n v="140"/>
        <n v="124"/>
        <n v="86"/>
        <n v="56"/>
        <n v="25"/>
        <n v="3"/>
        <n v="27"/>
        <n v="34"/>
        <n v="2"/>
        <n v="18"/>
        <n v="9"/>
        <n v="815"/>
        <n v="244"/>
        <n v="413"/>
        <n v="196"/>
        <n v="216"/>
        <n v="155"/>
        <n v="13"/>
        <n v="98"/>
        <n v="179"/>
        <n v="35"/>
        <n v="89"/>
        <n v="288"/>
        <n v="161"/>
        <n v="38"/>
        <n v="176"/>
        <n v="52"/>
        <n v="84"/>
        <n v="118"/>
        <n v="95"/>
        <n v="63"/>
        <n v="50"/>
        <n v="11"/>
        <n v="126"/>
        <n v="173"/>
        <n v="141"/>
        <n v="108"/>
        <n v="69"/>
        <n v="51"/>
        <n v="24"/>
        <n v="14"/>
        <n v="560"/>
        <n v="534"/>
        <n v="162"/>
        <n v="73"/>
        <n v="201"/>
        <n v="76"/>
        <n v="29"/>
        <n v="180"/>
        <n v="109"/>
        <n v="93"/>
        <n v="111"/>
        <n v="3969"/>
        <n v="708"/>
        <n v="2468"/>
        <n v="1115"/>
        <n v="806"/>
        <n v="152"/>
        <n v="861"/>
        <n v="716"/>
        <n v="1119"/>
        <n v="42"/>
        <n v="361"/>
        <n v="157"/>
        <n v="260"/>
        <n v="133"/>
        <n v="381"/>
        <n v="92"/>
        <n v="320"/>
        <n v="363"/>
        <n v="117"/>
        <n v="130"/>
        <n v="55"/>
        <n v="40"/>
        <n v="1114"/>
        <n v="102"/>
        <n v="199"/>
        <n v="331"/>
        <n v="164"/>
        <n v="186"/>
        <n v="66"/>
        <n v="1279"/>
        <n v="649"/>
        <n v="586"/>
        <n v="132"/>
        <n v="225"/>
        <n v="177"/>
        <n v="265"/>
        <n v="67"/>
        <n v="145"/>
        <n v="189"/>
        <n v="409"/>
        <n v="428"/>
        <n v="32"/>
        <n v="182"/>
        <n v="65"/>
        <n v="79"/>
        <n v="53"/>
        <n v="220"/>
        <n v="185"/>
        <n v="48"/>
        <n v="91"/>
        <n v="106"/>
        <n v="39"/>
        <n v="231"/>
        <n v="87"/>
        <n v="178"/>
        <n v="49"/>
        <n v="22"/>
        <n v="422"/>
        <n v="371"/>
        <n v="68"/>
        <n v="113"/>
        <n v="160"/>
        <n v="78"/>
        <n v="365"/>
        <n v="324"/>
        <n v="139"/>
        <n v="83"/>
        <n v="44"/>
        <n v="725"/>
        <n v="653"/>
        <n v="279"/>
        <n v="171"/>
        <n v="97"/>
        <n v="240"/>
        <n v="227"/>
        <n v="119"/>
        <n v="71"/>
        <n v="125"/>
        <n v="311"/>
        <n v="300"/>
        <n v="36"/>
        <n v="114"/>
        <n v="150"/>
        <n v="88"/>
        <n v="99"/>
        <n v="104"/>
        <n v="247"/>
        <n v="57"/>
        <n v="85"/>
        <n v="54"/>
        <n v="107"/>
        <n v="81"/>
        <n v="143"/>
        <n v="156"/>
        <n v="110"/>
        <n v="46"/>
        <n v="146"/>
        <n v="122"/>
        <n v="74"/>
        <n v="94"/>
        <n v="121"/>
        <n v="75"/>
      </sharedItems>
    </cacheField>
    <cacheField name="構成比（個人）" numFmtId="0" sqlType="3">
      <sharedItems containsSemiMixedTypes="0" containsString="0" containsNumber="1" minValue="0" maxValue="39.74" count="703">
        <n v="19.37"/>
        <n v="16.59"/>
        <n v="5.26"/>
        <n v="6.53"/>
        <n v="2.82"/>
        <n v="7.32"/>
        <n v="2.85"/>
        <n v="4.1900000000000004"/>
        <n v="1.62"/>
        <n v="6.19"/>
        <n v="4.3"/>
        <n v="3.75"/>
        <n v="2.3199999999999998"/>
        <n v="1.6"/>
        <n v="0.37"/>
        <n v="0.71"/>
        <n v="0.57999999999999996"/>
        <n v="0.45"/>
        <n v="7.0000000000000007E-2"/>
        <n v="0.24"/>
        <n v="20.55"/>
        <n v="16.739999999999998"/>
        <n v="9.44"/>
        <n v="6.51"/>
        <n v="2.1"/>
        <n v="8.57"/>
        <n v="1.1399999999999999"/>
        <n v="2.09"/>
        <n v="6.33"/>
        <n v="4.24"/>
        <n v="3.51"/>
        <n v="2.68"/>
        <n v="2.77"/>
        <n v="1.42"/>
        <n v="0.3"/>
        <n v="0.33"/>
        <n v="0.56000000000000005"/>
        <n v="0.05"/>
        <n v="1.22"/>
        <n v="0.52"/>
        <n v="23.23"/>
        <n v="15.16"/>
        <n v="11.2"/>
        <n v="11.7"/>
        <n v="6.75"/>
        <n v="2.31"/>
        <n v="0.66"/>
        <n v="4.8600000000000003"/>
        <n v="3.71"/>
        <n v="3.54"/>
        <n v="1.4"/>
        <n v="2.5499999999999998"/>
        <n v="1.89"/>
        <n v="0.99"/>
        <n v="0.82"/>
        <n v="0"/>
        <n v="0.49"/>
        <n v="19.36"/>
        <n v="15.04"/>
        <n v="7.96"/>
        <n v="8.85"/>
        <n v="2.21"/>
        <n v="1.77"/>
        <n v="5.2"/>
        <n v="6.64"/>
        <n v="0.88"/>
        <n v="3.32"/>
        <n v="2.88"/>
        <n v="1.66"/>
        <n v="0.11"/>
        <n v="0.77"/>
        <n v="0.55000000000000004"/>
        <n v="17.54"/>
        <n v="16.71"/>
        <n v="14.8"/>
        <n v="10.26"/>
        <n v="6.68"/>
        <n v="2.98"/>
        <n v="0.36"/>
        <n v="5.61"/>
        <n v="2.0299999999999998"/>
        <n v="0.6"/>
        <n v="3.22"/>
        <n v="4.0599999999999996"/>
        <n v="2.15"/>
        <n v="1.91"/>
        <n v="0.84"/>
        <n v="1.19"/>
        <n v="1.07"/>
        <n v="0.12"/>
        <n v="28.79"/>
        <n v="8.6199999999999992"/>
        <n v="14.59"/>
        <n v="6.92"/>
        <n v="7.63"/>
        <n v="5.48"/>
        <n v="0.46"/>
        <n v="3.46"/>
        <n v="6.32"/>
        <n v="0.25"/>
        <n v="1.24"/>
        <n v="3.14"/>
        <n v="0.53"/>
        <n v="0.35"/>
        <n v="0.92"/>
        <n v="1.52"/>
        <n v="0.21"/>
        <n v="0.14000000000000001"/>
        <n v="0.18"/>
        <n v="17.97"/>
        <n v="10.039999999999999"/>
        <n v="3.62"/>
        <n v="2.37"/>
        <n v="10.98"/>
        <n v="3.24"/>
        <n v="5.24"/>
        <n v="7.36"/>
        <n v="7.92"/>
        <n v="5.93"/>
        <n v="3.93"/>
        <n v="0.44"/>
        <n v="3.12"/>
        <n v="0.19"/>
        <n v="0.69"/>
        <n v="1.87"/>
        <n v="1.56"/>
        <n v="2.56"/>
        <n v="1.68"/>
        <n v="13.31"/>
        <n v="18.27"/>
        <n v="14.89"/>
        <n v="11.4"/>
        <n v="7.29"/>
        <n v="1.69"/>
        <n v="1.37"/>
        <n v="5.39"/>
        <n v="5.28"/>
        <n v="2.5299999999999998"/>
        <n v="2.2200000000000002"/>
        <n v="1.9"/>
        <n v="1.48"/>
        <n v="0.42"/>
        <n v="1.27"/>
        <n v="0.32"/>
        <n v="20.25"/>
        <n v="19.309999999999999"/>
        <n v="5.86"/>
        <n v="2.64"/>
        <n v="7.27"/>
        <n v="2.75"/>
        <n v="1.05"/>
        <n v="3.94"/>
        <n v="3.36"/>
        <n v="4.01"/>
        <n v="1.84"/>
        <n v="2.17"/>
        <n v="1.88"/>
        <n v="0.22"/>
        <n v="0.61"/>
        <n v="26.66"/>
        <n v="4.76"/>
        <n v="16.579999999999998"/>
        <n v="7.49"/>
        <n v="5.41"/>
        <n v="1.02"/>
        <n v="5.78"/>
        <n v="4.8099999999999996"/>
        <n v="7.52"/>
        <n v="1.45"/>
        <n v="0.28000000000000003"/>
        <n v="2.4300000000000002"/>
        <n v="1.75"/>
        <n v="0.89"/>
        <n v="0.41"/>
        <n v="0.34"/>
        <n v="0.23"/>
        <n v="0.4"/>
        <n v="18.82"/>
        <n v="21.35"/>
        <n v="6.88"/>
        <n v="1.53"/>
        <n v="7.65"/>
        <n v="8.65"/>
        <n v="1.65"/>
        <n v="2.76"/>
        <n v="2.35"/>
        <n v="0.06"/>
        <n v="39.74"/>
        <n v="3.64"/>
        <n v="0.28999999999999998"/>
        <n v="7.1"/>
        <n v="11.81"/>
        <n v="0.54"/>
        <n v="3.89"/>
        <n v="5.85"/>
        <n v="0.75"/>
        <n v="0.5"/>
        <n v="1.32"/>
        <n v="0.04"/>
        <n v="0.68"/>
        <n v="32.29"/>
        <n v="16.38"/>
        <n v="14.79"/>
        <n v="3.33"/>
        <n v="5.68"/>
        <n v="3.53"/>
        <n v="4.47"/>
        <n v="6.69"/>
        <n v="0.73"/>
        <n v="3.66"/>
        <n v="0.1"/>
        <n v="0.08"/>
        <n v="0.93"/>
        <n v="0.2"/>
        <n v="8.3800000000000008"/>
        <n v="18.14"/>
        <n v="18.98"/>
        <n v="5.63"/>
        <n v="1.33"/>
        <n v="6.03"/>
        <n v="8.07"/>
        <n v="6.25"/>
        <n v="1.1100000000000001"/>
        <n v="3.5"/>
        <n v="0.31"/>
        <n v="1.46"/>
        <n v="18.09"/>
        <n v="2.06"/>
        <n v="15.21"/>
        <n v="4.1100000000000003"/>
        <n v="3.95"/>
        <n v="5.67"/>
        <n v="7.07"/>
        <n v="7.48"/>
        <n v="8.7200000000000006"/>
        <n v="2.2999999999999998"/>
        <n v="3.21"/>
        <n v="1.64"/>
        <n v="23.43"/>
        <n v="8.82"/>
        <n v="18.05"/>
        <n v="5.07"/>
        <n v="4.97"/>
        <n v="7.4"/>
        <n v="4.5599999999999996"/>
        <n v="0.81"/>
        <n v="2.23"/>
        <n v="1.72"/>
        <n v="1.1200000000000001"/>
        <n v="0.91"/>
        <n v="21.49"/>
        <n v="18.89"/>
        <n v="5.55"/>
        <n v="2.39"/>
        <n v="5.75"/>
        <n v="8.15"/>
        <n v="4.07"/>
        <n v="2.19"/>
        <n v="6.31"/>
        <n v="3.97"/>
        <n v="1.73"/>
        <n v="2.04"/>
        <n v="0.15"/>
        <n v="1.43"/>
        <n v="19.8"/>
        <n v="17.579999999999998"/>
        <n v="7.54"/>
        <n v="4.5"/>
        <n v="4.12"/>
        <n v="3.15"/>
        <n v="1.47"/>
        <n v="1.25"/>
        <n v="0.98"/>
        <n v="18.39"/>
        <n v="16.57"/>
        <n v="7.08"/>
        <n v="4.34"/>
        <n v="2.46"/>
        <n v="6.09"/>
        <n v="5.76"/>
        <n v="4.49"/>
        <n v="3.86"/>
        <n v="4.16"/>
        <n v="2.33"/>
        <n v="0.96"/>
        <n v="3.02"/>
        <n v="1.8"/>
        <n v="1.04"/>
        <n v="18.309999999999999"/>
        <n v="17.34"/>
        <n v="8.0399999999999991"/>
        <n v="3.05"/>
        <n v="9.85"/>
        <n v="6.1"/>
        <n v="2.5"/>
        <n v="2.08"/>
        <n v="19.52"/>
        <n v="18.829999999999998"/>
        <n v="2.7"/>
        <n v="6.65"/>
        <n v="7.41"/>
        <n v="2.2599999999999998"/>
        <n v="5.21"/>
        <n v="3.2"/>
        <n v="1.44"/>
        <n v="3.08"/>
        <n v="1.63"/>
        <n v="20.23"/>
        <n v="20.6"/>
        <n v="9.0500000000000007"/>
        <n v="9.17"/>
        <n v="4.4000000000000004"/>
        <n v="1.76"/>
        <n v="3.27"/>
        <n v="3.52"/>
        <n v="2.5099999999999998"/>
        <n v="1.01"/>
        <n v="1.51"/>
        <n v="1.26"/>
        <n v="0.38"/>
        <n v="14.37"/>
        <n v="7.94"/>
        <n v="10.78"/>
        <n v="10.68"/>
        <n v="3.78"/>
        <n v="4.7300000000000004"/>
        <n v="6.14"/>
        <n v="4.82"/>
        <n v="2.93"/>
        <n v="2.84"/>
        <n v="2.74"/>
        <n v="1.1299999999999999"/>
        <n v="0.56999999999999995"/>
        <n v="13.21"/>
        <n v="12.39"/>
        <n v="7.68"/>
        <n v="8.18"/>
        <n v="6.94"/>
        <n v="2.73"/>
        <n v="3.3"/>
        <n v="1.57"/>
        <n v="3.96"/>
        <n v="2.89"/>
        <n v="1.49"/>
        <n v="1.82"/>
        <n v="16.22"/>
        <n v="13.42"/>
        <n v="6.24"/>
        <n v="7.8"/>
        <n v="2.34"/>
        <n v="5.77"/>
        <n v="4.5199999999999996"/>
        <n v="5.3"/>
        <n v="0.94"/>
        <n v="3.28"/>
        <n v="1.0900000000000001"/>
        <n v="26.14"/>
        <n v="9.6300000000000008"/>
        <n v="8.99"/>
        <n v="2.86"/>
        <n v="5.82"/>
        <n v="3.7"/>
        <n v="3.6"/>
        <n v="3.17"/>
        <n v="2.0099999999999998"/>
        <n v="1.1599999999999999"/>
        <n v="2.12"/>
        <n v="1.06"/>
        <n v="17.32"/>
        <n v="15.47"/>
        <n v="12.24"/>
        <n v="6.58"/>
        <n v="5.54"/>
        <n v="5.43"/>
        <n v="2.54"/>
        <n v="1.85"/>
        <n v="1.39"/>
        <n v="17.899999999999999"/>
        <n v="14.49"/>
        <n v="3.98"/>
        <n v="7.95"/>
        <n v="10.51"/>
        <n v="4.83"/>
        <n v="1.99"/>
        <n v="1.7"/>
        <n v="3.41"/>
        <n v="2.27"/>
        <n v="0.85"/>
        <n v="21.15"/>
        <n v="5.14"/>
        <n v="10.67"/>
        <n v="3.16"/>
        <n v="6.52"/>
        <n v="7.71"/>
        <n v="5.73"/>
        <n v="3.56"/>
        <n v="1.78"/>
        <n v="2.57"/>
        <n v="2.96"/>
        <n v="0.79"/>
        <n v="16.5"/>
        <n v="14.46"/>
        <n v="3.67"/>
        <n v="5.91"/>
        <n v="6.72"/>
        <n v="6.11"/>
        <n v="3.26"/>
        <n v="2.65"/>
        <n v="1.83"/>
        <n v="6.38"/>
        <n v="3.63"/>
        <n v="5.38"/>
        <n v="7.13"/>
        <n v="6.26"/>
        <n v="1.38"/>
        <n v="5.88"/>
        <n v="2.25"/>
        <n v="0.13"/>
        <n v="19.21"/>
        <n v="8.56"/>
        <n v="2.92"/>
        <n v="7.2"/>
        <n v="4.38"/>
        <n v="5.1100000000000003"/>
        <n v="5.32"/>
        <n v="2.61"/>
        <n v="1.1499999999999999"/>
        <n v="12.57"/>
        <n v="15.2"/>
        <n v="2.4"/>
        <n v="11.66"/>
        <n v="0.8"/>
        <n v="5.83"/>
        <n v="5.37"/>
        <n v="2.29"/>
        <n v="19.7"/>
        <n v="16.46"/>
        <n v="8.1"/>
        <n v="2.16"/>
        <n v="4.59"/>
        <n v="1.08"/>
        <n v="3.37"/>
        <n v="2.97"/>
        <n v="2.02"/>
        <n v="0.27"/>
        <n v="16.97"/>
        <n v="4.3600000000000003"/>
        <n v="7.11"/>
        <n v="11.24"/>
        <n v="6.42"/>
        <n v="2.52"/>
        <n v="3.44"/>
        <n v="16.45"/>
        <n v="16.27"/>
        <n v="3.88"/>
        <n v="6.28"/>
        <n v="4.62"/>
        <n v="7.39"/>
        <n v="4.25"/>
        <n v="15.76"/>
        <n v="16.100000000000001"/>
        <n v="8.14"/>
        <n v="5.59"/>
        <n v="6.44"/>
        <n v="4.41"/>
        <n v="1.36"/>
        <n v="0.17"/>
        <n v="18.260000000000002"/>
        <n v="9.82"/>
        <n v="13.24"/>
        <n v="9.1300000000000008"/>
        <n v="5.0199999999999996"/>
        <n v="2.2799999999999998"/>
        <n v="24.14"/>
        <n v="4.74"/>
        <n v="6.47"/>
        <n v="12.5"/>
        <n v="3.45"/>
        <n v="5.17"/>
        <n v="4.3099999999999996"/>
        <n v="1.29"/>
        <n v="0.43"/>
        <n v="20.8"/>
        <n v="4.87"/>
        <n v="9.9600000000000009"/>
        <n v="12.17"/>
        <n v="9.2899999999999991"/>
        <n v="5.97"/>
        <n v="5.09"/>
        <n v="4.2"/>
        <n v="1.55"/>
        <n v="15.92"/>
        <n v="9.74"/>
        <n v="16.05"/>
        <n v="4.6100000000000003"/>
        <n v="7.89"/>
        <n v="5.79"/>
        <n v="3.68"/>
        <n v="3.03"/>
        <n v="1.58"/>
        <n v="1.18"/>
        <n v="2.11"/>
        <n v="9.01"/>
        <n v="16.29"/>
        <n v="7.28"/>
        <n v="10.050000000000001"/>
        <n v="5.89"/>
        <n v="3.81"/>
        <n v="0.87"/>
        <n v="1.21"/>
        <n v="15.63"/>
        <n v="13.67"/>
        <n v="5.96"/>
        <n v="8.01"/>
        <n v="9.67"/>
        <n v="4.79"/>
        <n v="3.13"/>
        <n v="4.3899999999999997"/>
        <n v="5.66"/>
        <n v="2.0499999999999998"/>
        <n v="0.39"/>
        <n v="9.9"/>
        <n v="14.55"/>
        <n v="4.6500000000000004"/>
        <n v="5.45"/>
        <n v="5.05"/>
        <n v="1.41"/>
        <n v="6.22"/>
        <n v="8.92"/>
        <n v="11.62"/>
        <n v="4.32"/>
        <n v="5.95"/>
        <n v="19.79"/>
        <n v="15.1"/>
        <n v="4.17"/>
        <n v="9.3800000000000008"/>
        <n v="4.6900000000000004"/>
        <n v="2.6"/>
        <n v="8.4499999999999993"/>
        <n v="18.53"/>
        <n v="14.99"/>
        <n v="4.09"/>
        <n v="6.27"/>
        <n v="8.17"/>
        <n v="2.1800000000000002"/>
        <n v="7.69"/>
        <n v="5"/>
        <n v="10.38"/>
        <n v="10"/>
        <n v="4.2300000000000004"/>
        <n v="2.69"/>
        <n v="1.92"/>
        <n v="3.85"/>
        <n v="1.23"/>
        <n v="7.98"/>
        <n v="14.72"/>
        <n v="4.29"/>
        <n v="10.43"/>
        <n v="9.1999999999999993"/>
        <n v="2.4500000000000002"/>
        <n v="5.52"/>
        <n v="3.07"/>
        <n v="16"/>
        <n v="4"/>
        <n v="6.67"/>
        <n v="13.33"/>
        <n v="5.33"/>
        <n v="8"/>
        <n v="2.67"/>
        <n v="17.3"/>
        <n v="2.42"/>
        <n v="14.53"/>
        <n v="4.1500000000000004"/>
        <n v="6.57"/>
        <n v="5.19"/>
        <n v="27.32"/>
        <n v="9.76"/>
        <n v="2.44"/>
        <n v="1.95"/>
        <n v="17.53"/>
        <n v="15.46"/>
        <n v="2.41"/>
        <n v="5.5"/>
        <n v="1.03"/>
        <n v="19.5"/>
        <n v="3.55"/>
        <n v="13.48"/>
        <n v="9.57"/>
        <n v="6.74"/>
        <n v="7.09"/>
        <n v="3.9"/>
        <n v="3.19"/>
        <n v="4.58"/>
        <n v="14.44"/>
        <n v="0.7"/>
        <n v="20.309999999999999"/>
        <n v="10.94"/>
        <n v="9.52"/>
        <n v="16.670000000000002"/>
        <n v="13.69"/>
        <n v="8.33"/>
        <n v="8.93"/>
        <n v="6.55"/>
        <n v="1.79"/>
        <n v="2.38"/>
        <n v="20"/>
        <n v="18.57"/>
        <n v="6.43"/>
        <n v="3.57"/>
        <n v="2.14"/>
        <n v="15.97"/>
        <n v="9.51"/>
        <n v="5.7"/>
        <n v="6.46"/>
        <n v="10.27"/>
        <n v="2.66"/>
        <n v="0.76"/>
        <n v="23.08"/>
        <n v="8.7899999999999991"/>
        <n v="10.99"/>
        <n v="6.59"/>
        <n v="5.49"/>
        <n v="2.2000000000000002"/>
        <n v="1.1000000000000001"/>
        <n v="7.59"/>
        <n v="15.17"/>
        <n v="8.9700000000000006"/>
        <n v="10.34"/>
        <n v="6.9"/>
        <n v="6.21"/>
        <n v="12.02"/>
        <n v="4.33"/>
        <n v="5.29"/>
        <n v="0.48"/>
        <n v="17.559999999999999"/>
        <n v="8.02"/>
        <n v="4.96"/>
        <n v="8.7799999999999994"/>
        <n v="3.82"/>
        <n v="20.66"/>
        <n v="7.44"/>
        <n v="15.7"/>
        <n v="6.61"/>
        <n v="3.31"/>
        <n v="2.48"/>
        <n v="4.13"/>
        <n v="0.83"/>
        <n v="13.51"/>
        <n v="14.19"/>
        <n v="14.86"/>
        <n v="12.84"/>
        <n v="4.05"/>
        <n v="1.35"/>
        <n v="25"/>
        <n v="15.38"/>
        <n v="9.6199999999999992"/>
        <n v="21.76"/>
        <n v="15.54"/>
        <n v="11.92"/>
        <n v="7.77"/>
        <n v="3.11"/>
        <n v="5.18"/>
        <n v="2.59"/>
        <n v="26.32"/>
        <n v="22.81"/>
        <n v="15.79"/>
        <n v="8.77"/>
        <n v="7.02"/>
        <n v="19.23"/>
        <n v="11.54"/>
        <n v="9.39"/>
        <n v="13.88"/>
        <n v="10.61"/>
        <n v="7.76"/>
        <n v="4.08"/>
        <n v="5.71"/>
        <n v="5.31"/>
        <n v="20.78"/>
        <n v="18.28"/>
        <n v="8.31"/>
        <n v="6.37"/>
        <n v="4.99"/>
        <n v="1.94"/>
        <n v="12.33"/>
        <n v="19.82"/>
        <n v="11.89"/>
        <n v="8.3699999999999992"/>
        <n v="4.8499999999999996"/>
        <n v="25.33"/>
        <n v="12.12"/>
        <n v="18.18"/>
        <n v="4.55"/>
        <n v="6.06"/>
        <n v="7.58"/>
        <n v="16.09"/>
        <n v="14.78"/>
        <n v="11.74"/>
        <n v="8.26"/>
        <n v="4.78"/>
        <n v="4.3499999999999996"/>
        <n v="3.48"/>
        <n v="1.74"/>
        <n v="1.3"/>
      </sharedItems>
    </cacheField>
    <cacheField name="総数（法人）" numFmtId="0" sqlType="4">
      <sharedItems containsSemiMixedTypes="0" containsString="0" containsNumber="1" containsInteger="1" minValue="0" maxValue="5513" count="237">
        <n v="1666"/>
        <n v="2019"/>
        <n v="5513"/>
        <n v="3712"/>
        <n v="5509"/>
        <n v="1618"/>
        <n v="2893"/>
        <n v="1787"/>
        <n v="3133"/>
        <n v="578"/>
        <n v="1035"/>
        <n v="1197"/>
        <n v="1752"/>
        <n v="1610"/>
        <n v="2215"/>
        <n v="1738"/>
        <n v="1791"/>
        <n v="1658"/>
        <n v="1635"/>
        <n v="1489"/>
        <n v="301"/>
        <n v="381"/>
        <n v="1039"/>
        <n v="771"/>
        <n v="1082"/>
        <n v="364"/>
        <n v="788"/>
        <n v="612"/>
        <n v="119"/>
        <n v="186"/>
        <n v="279"/>
        <n v="310"/>
        <n v="233"/>
        <n v="260"/>
        <n v="368"/>
        <n v="332"/>
        <n v="304"/>
        <n v="319"/>
        <n v="187"/>
        <n v="258"/>
        <n v="22"/>
        <n v="32"/>
        <n v="73"/>
        <n v="58"/>
        <n v="81"/>
        <n v="106"/>
        <n v="64"/>
        <n v="11"/>
        <n v="14"/>
        <n v="19"/>
        <n v="44"/>
        <n v="28"/>
        <n v="29"/>
        <n v="17"/>
        <n v="20"/>
        <n v="23"/>
        <n v="24"/>
        <n v="12"/>
        <n v="71"/>
        <n v="56"/>
        <n v="35"/>
        <n v="89"/>
        <n v="54"/>
        <n v="18"/>
        <n v="48"/>
        <n v="6"/>
        <n v="50"/>
        <n v="62"/>
        <n v="46"/>
        <n v="45"/>
        <n v="55"/>
        <n v="42"/>
        <n v="10"/>
        <n v="26"/>
        <n v="130"/>
        <n v="348"/>
        <n v="127"/>
        <n v="239"/>
        <n v="97"/>
        <n v="229"/>
        <n v="136"/>
        <n v="25"/>
        <n v="157"/>
        <n v="152"/>
        <n v="115"/>
        <n v="105"/>
        <n v="98"/>
        <n v="82"/>
        <n v="93"/>
        <n v="90"/>
        <n v="84"/>
        <n v="77"/>
        <n v="155"/>
        <n v="246"/>
        <n v="188"/>
        <n v="34"/>
        <n v="122"/>
        <n v="53"/>
        <n v="41"/>
        <n v="60"/>
        <n v="86"/>
        <n v="37"/>
        <n v="66"/>
        <n v="59"/>
        <n v="31"/>
        <n v="49"/>
        <n v="67"/>
        <n v="9"/>
        <n v="30"/>
        <n v="16"/>
        <n v="88"/>
        <n v="263"/>
        <n v="300"/>
        <n v="174"/>
        <n v="165"/>
        <n v="210"/>
        <n v="57"/>
        <n v="38"/>
        <n v="51"/>
        <n v="94"/>
        <n v="75"/>
        <n v="52"/>
        <n v="864"/>
        <n v="2682"/>
        <n v="852"/>
        <n v="1071"/>
        <n v="1193"/>
        <n v="1429"/>
        <n v="533"/>
        <n v="492"/>
        <n v="231"/>
        <n v="1044"/>
        <n v="1182"/>
        <n v="823"/>
        <n v="987"/>
        <n v="795"/>
        <n v="906"/>
        <n v="896"/>
        <n v="797"/>
        <n v="724"/>
        <n v="309"/>
        <n v="586"/>
        <n v="353"/>
        <n v="118"/>
        <n v="209"/>
        <n v="36"/>
        <n v="125"/>
        <n v="121"/>
        <n v="116"/>
        <n v="101"/>
        <n v="68"/>
        <n v="85"/>
        <n v="303"/>
        <n v="620"/>
        <n v="711"/>
        <n v="299"/>
        <n v="147"/>
        <n v="404"/>
        <n v="370"/>
        <n v="257"/>
        <n v="176"/>
        <n v="315"/>
        <n v="311"/>
        <n v="283"/>
        <n v="262"/>
        <n v="256"/>
        <n v="255"/>
        <n v="201"/>
        <n v="213"/>
        <n v="217"/>
        <n v="95"/>
        <n v="335"/>
        <n v="398"/>
        <n v="706"/>
        <n v="340"/>
        <n v="65"/>
        <n v="292"/>
        <n v="203"/>
        <n v="120"/>
        <n v="243"/>
        <n v="182"/>
        <n v="160"/>
        <n v="153"/>
        <n v="137"/>
        <n v="140"/>
        <n v="416"/>
        <n v="114"/>
        <n v="172"/>
        <n v="190"/>
        <n v="179"/>
        <n v="113"/>
        <n v="104"/>
        <n v="91"/>
        <n v="80"/>
        <n v="206"/>
        <n v="168"/>
        <n v="138"/>
        <n v="110"/>
        <n v="40"/>
        <n v="117"/>
        <n v="43"/>
        <n v="21"/>
        <n v="74"/>
        <n v="149"/>
        <n v="99"/>
        <n v="15"/>
        <n v="270"/>
        <n v="33"/>
        <n v="70"/>
        <n v="8"/>
        <n v="7"/>
        <n v="108"/>
        <n v="241"/>
        <n v="284"/>
        <n v="314"/>
        <n v="141"/>
        <n v="72"/>
        <n v="78"/>
        <n v="146"/>
        <n v="109"/>
        <n v="61"/>
        <n v="87"/>
        <n v="3"/>
        <n v="27"/>
        <n v="169"/>
        <n v="5"/>
        <n v="47"/>
        <n v="13"/>
        <n v="2"/>
        <n v="1"/>
        <n v="4"/>
        <n v="63"/>
        <n v="92"/>
        <n v="76"/>
        <n v="39"/>
        <n v="0"/>
        <n v="83"/>
      </sharedItems>
    </cacheField>
    <cacheField name="構成比（法人）" numFmtId="0" sqlType="3">
      <sharedItems containsSemiMixedTypes="0" containsString="0" containsNumber="1" minValue="0" maxValue="41.03" count="609">
        <n v="2.81"/>
        <n v="3.41"/>
        <n v="9.3000000000000007"/>
        <n v="6.26"/>
        <n v="2.73"/>
        <n v="4.88"/>
        <n v="3.02"/>
        <n v="5.29"/>
        <n v="0.98"/>
        <n v="1.75"/>
        <n v="2.02"/>
        <n v="2.96"/>
        <n v="2.72"/>
        <n v="3.74"/>
        <n v="2.93"/>
        <n v="2.8"/>
        <n v="2.76"/>
        <n v="2.5099999999999998"/>
        <n v="2.69"/>
        <n v="9.2899999999999991"/>
        <n v="6.9"/>
        <n v="9.68"/>
        <n v="3.26"/>
        <n v="7.05"/>
        <n v="5.47"/>
        <n v="1.06"/>
        <n v="1.66"/>
        <n v="2.5"/>
        <n v="2.77"/>
        <n v="2.08"/>
        <n v="2.33"/>
        <n v="3.29"/>
        <n v="2.97"/>
        <n v="2.85"/>
        <n v="1.67"/>
        <n v="2.31"/>
        <n v="2.13"/>
        <n v="3.1"/>
        <n v="7.07"/>
        <n v="5.62"/>
        <n v="7.85"/>
        <n v="10.27"/>
        <n v="6.2"/>
        <n v="1.07"/>
        <n v="1.36"/>
        <n v="1.84"/>
        <n v="4.26"/>
        <n v="2.71"/>
        <n v="1.65"/>
        <n v="1.94"/>
        <n v="2.23"/>
        <n v="2.4"/>
        <n v="1.31"/>
        <n v="7.75"/>
        <n v="6.11"/>
        <n v="3.82"/>
        <n v="9.7200000000000006"/>
        <n v="5.9"/>
        <n v="1.97"/>
        <n v="5.24"/>
        <n v="0.66"/>
        <n v="5.46"/>
        <n v="2.1800000000000002"/>
        <n v="2.62"/>
        <n v="3.17"/>
        <n v="9.32"/>
        <n v="2.86"/>
        <n v="6.92"/>
        <n v="6.77"/>
        <n v="8.27"/>
        <n v="0.9"/>
        <n v="5.26"/>
        <n v="6.32"/>
        <n v="2.56"/>
        <n v="1.5"/>
        <n v="4.3600000000000003"/>
        <n v="3.91"/>
        <n v="2.11"/>
        <n v="3.94"/>
        <n v="10.56"/>
        <n v="3.85"/>
        <n v="7.25"/>
        <n v="2.94"/>
        <n v="6.95"/>
        <n v="4.13"/>
        <n v="0.76"/>
        <n v="4.76"/>
        <n v="4.6100000000000003"/>
        <n v="3.49"/>
        <n v="1.7"/>
        <n v="3.19"/>
        <n v="2.4900000000000002"/>
        <n v="1.76"/>
        <n v="2.82"/>
        <n v="2.5499999999999998"/>
        <n v="3.89"/>
        <n v="7.84"/>
        <n v="12.44"/>
        <n v="9.51"/>
        <n v="1.72"/>
        <n v="7.94"/>
        <n v="6.17"/>
        <n v="2.68"/>
        <n v="1.1100000000000001"/>
        <n v="2.0699999999999998"/>
        <n v="3.03"/>
        <n v="4.3499999999999996"/>
        <n v="1.87"/>
        <n v="3.34"/>
        <n v="2.98"/>
        <n v="0.91"/>
        <n v="1.57"/>
        <n v="2.48"/>
        <n v="9.17"/>
        <n v="1.64"/>
        <n v="3.28"/>
        <n v="8.2100000000000009"/>
        <n v="1.92"/>
        <n v="6.57"/>
        <n v="1.23"/>
        <n v="4.0999999999999996"/>
        <n v="3.56"/>
        <n v="2.19"/>
        <n v="2.74"/>
        <n v="3.15"/>
        <n v="2.6"/>
        <n v="1.37"/>
        <n v="3.43"/>
        <n v="10.26"/>
        <n v="11.71"/>
        <n v="6.79"/>
        <n v="6.44"/>
        <n v="8.19"/>
        <n v="2.2200000000000002"/>
        <n v="2.61"/>
        <n v="1.48"/>
        <n v="2.58"/>
        <n v="1.99"/>
        <n v="3.67"/>
        <n v="1.79"/>
        <n v="2.0299999999999998"/>
        <n v="3.59"/>
        <n v="11.16"/>
        <n v="3.54"/>
        <n v="4.46"/>
        <n v="4.96"/>
        <n v="5.94"/>
        <n v="2.0499999999999998"/>
        <n v="0.96"/>
        <n v="4.34"/>
        <n v="4.92"/>
        <n v="3.42"/>
        <n v="4.1100000000000003"/>
        <n v="3.31"/>
        <n v="3.77"/>
        <n v="3.73"/>
        <n v="3.32"/>
        <n v="3.01"/>
        <n v="1.29"/>
        <n v="2.44"/>
        <n v="12.06"/>
        <n v="4.03"/>
        <n v="4.4400000000000004"/>
        <n v="7.14"/>
        <n v="2.4300000000000002"/>
        <n v="1.98"/>
        <n v="4.2699999999999996"/>
        <n v="4.1399999999999997"/>
        <n v="2.63"/>
        <n v="3.96"/>
        <n v="3.45"/>
        <n v="2.3199999999999998"/>
        <n v="3.18"/>
        <n v="2.9"/>
        <n v="4.09"/>
        <n v="8.3699999999999992"/>
        <n v="9.6"/>
        <n v="4.04"/>
        <n v="5.45"/>
        <n v="5"/>
        <n v="3.47"/>
        <n v="2.38"/>
        <n v="4.25"/>
        <n v="4.2"/>
        <n v="3.46"/>
        <n v="3.44"/>
        <n v="2.88"/>
        <n v="0.55000000000000004"/>
        <n v="1.28"/>
        <n v="5.66"/>
        <n v="6.72"/>
        <n v="4.3899999999999997"/>
        <n v="11.92"/>
        <n v="5.74"/>
        <n v="2.79"/>
        <n v="1.1000000000000001"/>
        <n v="4.93"/>
        <n v="3.07"/>
        <n v="2.7"/>
        <n v="2.0099999999999998"/>
        <n v="2.36"/>
        <n v="14.07"/>
        <n v="3.86"/>
        <n v="5.82"/>
        <n v="8.86"/>
        <n v="2.1"/>
        <n v="6.43"/>
        <n v="1.18"/>
        <n v="6.05"/>
        <n v="4.4000000000000004"/>
        <n v="1.42"/>
        <n v="3.52"/>
        <n v="3.08"/>
        <n v="1.39"/>
        <n v="2.2000000000000002"/>
        <n v="4.66"/>
        <n v="11.72"/>
        <n v="2.39"/>
        <n v="9.56"/>
        <n v="2.2799999999999998"/>
        <n v="6.66"/>
        <n v="2.4500000000000002"/>
        <n v="1.19"/>
        <n v="4.21"/>
        <n v="3.13"/>
        <n v="3.36"/>
        <n v="2.84"/>
        <n v="1.93"/>
        <n v="4.43"/>
        <n v="14.34"/>
        <n v="9.5299999999999994"/>
        <n v="5.49"/>
        <n v="7.7"/>
        <n v="4.91"/>
        <n v="3.27"/>
        <n v="4.62"/>
        <n v="2.89"/>
        <n v="0.87"/>
        <n v="1.44"/>
        <n v="2.12"/>
        <n v="4.1900000000000004"/>
        <n v="13.3"/>
        <n v="8.9700000000000006"/>
        <n v="6.8"/>
        <n v="1.1299999999999999"/>
        <n v="4.58"/>
        <n v="5.76"/>
        <n v="1.63"/>
        <n v="1.58"/>
        <n v="9.57"/>
        <n v="5.15"/>
        <n v="11.22"/>
        <n v="0.74"/>
        <n v="3.5"/>
        <n v="4.42"/>
        <n v="4.78"/>
        <n v="5.52"/>
        <n v="5.0599999999999996"/>
        <n v="1.47"/>
        <n v="0.64"/>
        <n v="2.21"/>
        <n v="3.14"/>
        <n v="7.5"/>
        <n v="8.83"/>
        <n v="9.77"/>
        <n v="1.4"/>
        <n v="2.2400000000000002"/>
        <n v="1.68"/>
        <n v="4.54"/>
        <n v="3.39"/>
        <n v="0.78"/>
        <n v="3.61"/>
        <n v="1.9"/>
        <n v="3.7"/>
        <n v="1.78"/>
        <n v="10.53"/>
        <n v="11.57"/>
        <n v="7.86"/>
        <n v="0.89"/>
        <n v="4.75"/>
        <n v="2.37"/>
        <n v="4.1500000000000004"/>
        <n v="4.3"/>
        <n v="3.12"/>
        <n v="1.34"/>
        <n v="0.45"/>
        <n v="2.17"/>
        <n v="13.55"/>
        <n v="8.5"/>
        <n v="4.8899999999999997"/>
        <n v="4.97"/>
        <n v="0.88"/>
        <n v="3.93"/>
        <n v="3.37"/>
        <n v="1.52"/>
        <n v="2.57"/>
        <n v="10.59"/>
        <n v="6.08"/>
        <n v="12.16"/>
        <n v="6.53"/>
        <n v="4.7300000000000004"/>
        <n v="1.35"/>
        <n v="2.25"/>
        <n v="3.83"/>
        <n v="1.8"/>
        <n v="2.65"/>
        <n v="9.52"/>
        <n v="3"/>
        <n v="2.29"/>
        <n v="13.23"/>
        <n v="6.35"/>
        <n v="3.35"/>
        <n v="4.0599999999999996"/>
        <n v="0.35"/>
        <n v="1.82"/>
        <n v="11.64"/>
        <n v="8.36"/>
        <n v="6"/>
        <n v="1.27"/>
        <n v="2.91"/>
        <n v="0.18"/>
        <n v="4.55"/>
        <n v="1.0900000000000001"/>
        <n v="3.09"/>
        <n v="2"/>
        <n v="4.87"/>
        <n v="7.79"/>
        <n v="8.0299999999999994"/>
        <n v="3.65"/>
        <n v="0.97"/>
        <n v="1.46"/>
        <n v="3.16"/>
        <n v="1.95"/>
        <n v="0.24"/>
        <n v="2.92"/>
        <n v="10.4"/>
        <n v="8"/>
        <n v="7.6"/>
        <n v="9.1999999999999993"/>
        <n v="3.2"/>
        <n v="8.8000000000000007"/>
        <n v="7.4"/>
        <n v="1.6"/>
        <n v="3.8"/>
        <n v="1.2"/>
        <n v="0.4"/>
        <n v="0.6"/>
        <n v="6.56"/>
        <n v="10.16"/>
        <n v="11.97"/>
        <n v="2.95"/>
        <n v="5.08"/>
        <n v="5.41"/>
        <n v="1.1499999999999999"/>
        <n v="2.2999999999999998"/>
        <n v="15.86"/>
        <n v="2.64"/>
        <n v="1.32"/>
        <n v="5.73"/>
        <n v="0.44"/>
        <n v="3.6"/>
        <n v="20.05"/>
        <n v="9.25"/>
        <n v="2.06"/>
        <n v="11.31"/>
        <n v="1.03"/>
        <n v="1.54"/>
        <n v="2.83"/>
        <n v="4.37"/>
        <n v="0.77"/>
        <n v="0.26"/>
        <n v="3.24"/>
        <n v="9.73"/>
        <n v="8.5500000000000007"/>
        <n v="10.029999999999999"/>
        <n v="0.59"/>
        <n v="5.6"/>
        <n v="4.63"/>
        <n v="10.67"/>
        <n v="10.24"/>
        <n v="2.16"/>
        <n v="4.8499999999999996"/>
        <n v="2.59"/>
        <n v="0.65"/>
        <n v="4.5599999999999996"/>
        <n v="11.4"/>
        <n v="8.2899999999999991"/>
        <n v="8.81"/>
        <n v="6.94"/>
        <n v="0.93"/>
        <n v="3.11"/>
        <n v="8.7100000000000009"/>
        <n v="10.02"/>
        <n v="7.09"/>
        <n v="0.85"/>
        <n v="7.32"/>
        <n v="5.86"/>
        <n v="1.85"/>
        <n v="0.62"/>
        <n v="3.55"/>
        <n v="1.77"/>
        <n v="2.4700000000000002"/>
        <n v="4.38"/>
        <n v="16.43"/>
        <n v="9.23"/>
        <n v="0.63"/>
        <n v="2.66"/>
        <n v="5.48"/>
        <n v="4.07"/>
        <n v="0.94"/>
        <n v="1.56"/>
        <n v="10.18"/>
        <n v="6.74"/>
        <n v="9.2799999999999994"/>
        <n v="7.63"/>
        <n v="2.99"/>
        <n v="5.69"/>
        <n v="1.05"/>
        <n v="2.2599999999999998"/>
        <n v="11.65"/>
        <n v="4.7"/>
        <n v="4.51"/>
        <n v="4.32"/>
        <n v="1.69"/>
        <n v="5.64"/>
        <n v="3.38"/>
        <n v="5.7"/>
        <n v="16.03"/>
        <n v="6.12"/>
        <n v="5.27"/>
        <n v="6.54"/>
        <n v="6.33"/>
        <n v="4.6399999999999997"/>
        <n v="12.67"/>
        <n v="17.190000000000001"/>
        <n v="4.9800000000000004"/>
        <n v="3.62"/>
        <n v="4.5199999999999996"/>
        <n v="1.81"/>
        <n v="0"/>
        <n v="16.37"/>
        <n v="3.98"/>
        <n v="7.96"/>
        <n v="5.75"/>
        <n v="1.33"/>
        <n v="3.4"/>
        <n v="21.28"/>
        <n v="9.7899999999999991"/>
        <n v="4.68"/>
        <n v="6.81"/>
        <n v="0.43"/>
        <n v="11.39"/>
        <n v="2.35"/>
        <n v="13.56"/>
        <n v="5.61"/>
        <n v="3.25"/>
        <n v="2.5299999999999998"/>
        <n v="1.08"/>
        <n v="18.309999999999999"/>
        <n v="11.19"/>
        <n v="0.34"/>
        <n v="3.05"/>
        <n v="7.12"/>
        <n v="1.02"/>
        <n v="6.1"/>
        <n v="0.68"/>
        <n v="3.69"/>
        <n v="3.84"/>
        <n v="11.79"/>
        <n v="7.24"/>
        <n v="6.25"/>
        <n v="7.53"/>
        <n v="0.56999999999999995"/>
        <n v="0.14000000000000001"/>
        <n v="13.29"/>
        <n v="12.24"/>
        <n v="1.22"/>
        <n v="7.87"/>
        <n v="6.82"/>
        <n v="2.27"/>
        <n v="7.48"/>
        <n v="8.98"/>
        <n v="4.99"/>
        <n v="0.75"/>
        <n v="1.25"/>
        <n v="0.5"/>
        <n v="12.14"/>
        <n v="9.7100000000000009"/>
        <n v="3.88"/>
        <n v="5.34"/>
        <n v="0.49"/>
        <n v="12.78"/>
        <n v="7.71"/>
        <n v="1.88"/>
        <n v="8.49"/>
        <n v="10.38"/>
        <n v="7.55"/>
        <n v="1.26"/>
        <n v="1.89"/>
        <n v="0.31"/>
        <n v="11.85"/>
        <n v="6.69"/>
        <n v="4.8600000000000003"/>
        <n v="3.95"/>
        <n v="0.61"/>
        <n v="3.04"/>
        <n v="11.11"/>
        <n v="8.73"/>
        <n v="1.59"/>
        <n v="3.97"/>
        <n v="0.79"/>
        <n v="6.27"/>
        <n v="5.92"/>
        <n v="1.74"/>
        <n v="3.66"/>
        <n v="4.01"/>
        <n v="0.7"/>
        <n v="22.32"/>
        <n v="12.5"/>
        <n v="8.0399999999999991"/>
        <n v="24.31"/>
        <n v="1.38"/>
        <n v="7.8"/>
        <n v="8.26"/>
        <n v="4.59"/>
        <n v="0.92"/>
        <n v="1.83"/>
        <n v="2.75"/>
        <n v="0.46"/>
        <n v="15.92"/>
        <n v="9.8000000000000007"/>
        <n v="10.61"/>
        <n v="4.9000000000000004"/>
        <n v="4.08"/>
        <n v="4.49"/>
        <n v="2.04"/>
        <n v="16.16"/>
        <n v="3.06"/>
        <n v="24.24"/>
        <n v="7.58"/>
        <n v="9.09"/>
        <n v="21.76"/>
        <n v="5.88"/>
        <n v="7.65"/>
        <n v="6.47"/>
        <n v="3.53"/>
        <n v="17.809999999999999"/>
        <n v="8.2200000000000006"/>
        <n v="9.59"/>
        <n v="10.1"/>
        <n v="13.46"/>
        <n v="8.17"/>
        <n v="4.8099999999999996"/>
        <n v="15.63"/>
        <n v="28.13"/>
        <n v="16.82"/>
        <n v="4.67"/>
        <n v="8.82"/>
        <n v="3.92"/>
        <n v="1.96"/>
        <n v="9.3800000000000008"/>
        <n v="3.75"/>
        <n v="18.18"/>
        <n v="12.12"/>
        <n v="6.06"/>
        <n v="34.33"/>
        <n v="7.46"/>
        <n v="4.4800000000000004"/>
        <n v="1.49"/>
        <n v="14.93"/>
        <n v="5.97"/>
        <n v="31.11"/>
        <n v="13.33"/>
        <n v="6.67"/>
        <n v="31.5"/>
        <n v="5.51"/>
        <n v="8.66"/>
        <n v="41.03"/>
        <n v="7.69"/>
        <n v="5.13"/>
        <n v="30"/>
        <n v="25"/>
        <n v="10"/>
        <n v="29.37"/>
        <n v="6.29"/>
        <n v="5.59"/>
        <n v="6.99"/>
        <n v="6.93"/>
        <n v="1.24"/>
        <n v="3.71"/>
        <n v="7.67"/>
        <n v="0.99"/>
        <n v="5.2"/>
        <n v="4.95"/>
        <n v="1.73"/>
        <n v="28.99"/>
        <n v="0.72"/>
        <n v="1.45"/>
        <n v="5.8"/>
        <n v="6.52"/>
        <n v="8.11"/>
        <n v="18.920000000000002"/>
        <n v="21.62"/>
        <n v="10.81"/>
        <n v="25.58"/>
        <n v="4.6500000000000004"/>
        <n v="13.95"/>
        <n v="33.83"/>
        <n v="3.76"/>
      </sharedItems>
    </cacheField>
    <cacheField name="総数（法人以外の団体）" numFmtId="0" sqlType="4">
      <sharedItems containsSemiMixedTypes="0" containsString="0" containsNumber="1" containsInteger="1" minValue="0" maxValue="75" count="16">
        <n v="2"/>
        <n v="11"/>
        <n v="6"/>
        <n v="0"/>
        <n v="12"/>
        <n v="7"/>
        <n v="1"/>
        <n v="75"/>
        <n v="3"/>
        <n v="13"/>
        <n v="31"/>
        <n v="16"/>
        <n v="4"/>
        <n v="5"/>
        <n v="14"/>
        <n v="2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6804976852" createdVersion="5" refreshedVersion="8" minRefreshableVersion="3" recordCount="1663" xr:uid="{FE7AB539-8A93-4C56-B419-1A1A99B19DCD}">
  <cacheSource type="external" connectionId="3"/>
  <cacheFields count="14">
    <cacheField name="都道府県" numFmtId="0" sqlType="-9">
      <sharedItems count="1">
        <s v="40 福岡県"/>
      </sharedItems>
    </cacheField>
    <cacheField name="自治体名" numFmtId="0" sqlType="-9">
      <sharedItems count="75">
        <s v="福岡県"/>
        <s v="北九州市"/>
        <s v="北九州市門司区"/>
        <s v="北九州市若松区"/>
        <s v="北九州市戸畑区"/>
        <s v="北九州市小倉北区"/>
        <s v="北九州市小倉南区"/>
        <s v="北九州市八幡東区"/>
        <s v="北九州市八幡西区"/>
        <s v="福岡市"/>
        <s v="福岡市東区"/>
        <s v="福岡市博多区"/>
        <s v="福岡市中央区"/>
        <s v="福岡市南区"/>
        <s v="福岡市西区"/>
        <s v="福岡市城南区"/>
        <s v="福岡市早良区"/>
        <s v="大牟田市"/>
        <s v="久留米市"/>
        <s v="直方市"/>
        <s v="飯塚市"/>
        <s v="田川市"/>
        <s v="柳川市"/>
        <s v="八女市"/>
        <s v="筑後市"/>
        <s v="大川市"/>
        <s v="行橋市"/>
        <s v="豊前市"/>
        <s v="中間市"/>
        <s v="小郡市"/>
        <s v="筑紫野市"/>
        <s v="春日市"/>
        <s v="大野城市"/>
        <s v="宗像市"/>
        <s v="太宰府市"/>
        <s v="古賀市"/>
        <s v="福津市"/>
        <s v="うきは市"/>
        <s v="宮若市"/>
        <s v="嘉麻市"/>
        <s v="朝倉市"/>
        <s v="みやま市"/>
        <s v="糸島市"/>
        <s v="那珂川市"/>
        <s v="糟屋郡宇美町"/>
        <s v="糟屋郡篠栗町"/>
        <s v="糟屋郡志免町"/>
        <s v="糟屋郡須恵町"/>
        <s v="糟屋郡新宮町"/>
        <s v="糟屋郡久山町"/>
        <s v="糟屋郡粕屋町"/>
        <s v="遠賀郡芦屋町"/>
        <s v="遠賀郡水巻町"/>
        <s v="遠賀郡岡垣町"/>
        <s v="遠賀郡遠賀町"/>
        <s v="鞍手郡小竹町"/>
        <s v="鞍手郡鞍手町"/>
        <s v="嘉穂郡桂川町"/>
        <s v="朝倉郡筑前町"/>
        <s v="朝倉郡東峰村"/>
        <s v="三井郡大刀洗町"/>
        <s v="三潴郡大木町"/>
        <s v="八女郡広川町"/>
        <s v="田川郡香春町"/>
        <s v="田川郡添田町"/>
        <s v="田川郡糸田町"/>
        <s v="田川郡川崎町"/>
        <s v="田川郡大任町"/>
        <s v="田川郡赤村"/>
        <s v="田川郡福智町"/>
        <s v="京都郡苅田町"/>
        <s v="京都郡みやこ町"/>
        <s v="築上郡吉富町"/>
        <s v="築上郡上毛町"/>
        <s v="築上郡築上町"/>
      </sharedItems>
    </cacheField>
    <cacheField name="自治体" numFmtId="0" sqlType="-9">
      <sharedItems count="75">
        <s v="40000 福岡県"/>
        <s v="40100 北九州市"/>
        <s v="40101 北九州市門司区"/>
        <s v="40103 北九州市若松区"/>
        <s v="40105 北九州市戸畑区"/>
        <s v="40106 北九州市小倉北区"/>
        <s v="40107 北九州市小倉南区"/>
        <s v="40108 北九州市八幡東区"/>
        <s v="40109 北九州市八幡西区"/>
        <s v="40130 福岡市"/>
        <s v="40131 福岡市東区"/>
        <s v="40132 福岡市博多区"/>
        <s v="40133 福岡市中央区"/>
        <s v="40134 福岡市南区"/>
        <s v="40135 福岡市西区"/>
        <s v="40136 福岡市城南区"/>
        <s v="40137 福岡市早良区"/>
        <s v="40202 大牟田市"/>
        <s v="40203 久留米市"/>
        <s v="40204 直方市"/>
        <s v="40205 飯塚市"/>
        <s v="40206 田川市"/>
        <s v="40207 柳川市"/>
        <s v="40210 八女市"/>
        <s v="40211 筑後市"/>
        <s v="40212 大川市"/>
        <s v="40213 行橋市"/>
        <s v="40214 豊前市"/>
        <s v="40215 中間市"/>
        <s v="40216 小郡市"/>
        <s v="40217 筑紫野市"/>
        <s v="40218 春日市"/>
        <s v="40219 大野城市"/>
        <s v="40220 宗像市"/>
        <s v="40221 太宰府市"/>
        <s v="40223 古賀市"/>
        <s v="40224 福津市"/>
        <s v="40225 うきは市"/>
        <s v="40226 宮若市"/>
        <s v="40227 嘉麻市"/>
        <s v="40228 朝倉市"/>
        <s v="40229 みやま市"/>
        <s v="40230 糸島市"/>
        <s v="40231 那珂川市"/>
        <s v="40341 糟屋郡宇美町"/>
        <s v="40342 糟屋郡篠栗町"/>
        <s v="40343 糟屋郡志免町"/>
        <s v="40344 糟屋郡須恵町"/>
        <s v="40345 糟屋郡新宮町"/>
        <s v="40348 糟屋郡久山町"/>
        <s v="40349 糟屋郡粕屋町"/>
        <s v="40381 遠賀郡芦屋町"/>
        <s v="40382 遠賀郡水巻町"/>
        <s v="40383 遠賀郡岡垣町"/>
        <s v="40384 遠賀郡遠賀町"/>
        <s v="40401 鞍手郡小竹町"/>
        <s v="40402 鞍手郡鞍手町"/>
        <s v="40421 嘉穂郡桂川町"/>
        <s v="40447 朝倉郡筑前町"/>
        <s v="40448 朝倉郡東峰村"/>
        <s v="40503 三井郡大刀洗町"/>
        <s v="40522 三潴郡大木町"/>
        <s v="40544 八女郡広川町"/>
        <s v="40601 田川郡香春町"/>
        <s v="40602 田川郡添田町"/>
        <s v="40604 田川郡糸田町"/>
        <s v="40605 田川郡川崎町"/>
        <s v="40608 田川郡大任町"/>
        <s v="40609 田川郡赤村"/>
        <s v="40610 田川郡福智町"/>
        <s v="40621 京都郡苅田町"/>
        <s v="40625 京都郡みやこ町"/>
        <s v="40642 築上郡吉富町"/>
        <s v="40646 築上郡上毛町"/>
        <s v="40647 築上郡築上町"/>
      </sharedItems>
    </cacheField>
    <cacheField name="産業分類コード" numFmtId="0" sqlType="-8">
      <sharedItems count="128">
        <s v="783"/>
        <s v="692"/>
        <s v="765"/>
        <s v="766"/>
        <s v="782"/>
        <s v="762"/>
        <s v="835"/>
        <s v="062"/>
        <s v="603"/>
        <s v="824"/>
        <s v="591"/>
        <s v="589"/>
        <s v="609"/>
        <s v="691"/>
        <s v="064"/>
        <s v="742"/>
        <s v="682"/>
        <s v="081"/>
        <s v="891"/>
        <s v="573"/>
        <s v="693"/>
        <s v="083"/>
        <s v="767"/>
        <s v="586"/>
        <s v="582"/>
        <s v="761"/>
        <s v="244"/>
        <s v="585"/>
        <s v="781"/>
        <s v="833"/>
        <s v="541"/>
        <s v="559"/>
        <s v="066"/>
        <s v="065"/>
        <s v="929"/>
        <s v="694"/>
        <s v="729"/>
        <s v="522"/>
        <s v="611"/>
        <s v="543"/>
        <s v="391"/>
        <s v="728"/>
        <s v="531"/>
        <s v="532"/>
        <s v="721"/>
        <s v="789"/>
        <s v="724"/>
        <s v="722"/>
        <s v="078"/>
        <s v="079"/>
        <s v="854"/>
        <s v="605"/>
        <s v="269"/>
        <s v="266"/>
        <s v="593"/>
        <s v="328"/>
        <s v="131"/>
        <s v="103"/>
        <s v="601"/>
        <s v="133"/>
        <s v="551"/>
        <s v="122"/>
        <s v="121"/>
        <s v="129"/>
        <s v="772"/>
        <s v="821"/>
        <s v="823"/>
        <s v="084"/>
        <s v="799"/>
        <s v="099"/>
        <s v="441"/>
        <s v="604"/>
        <s v="853"/>
        <s v="432"/>
        <s v="329"/>
        <s v="077"/>
        <s v="763"/>
        <s v="751"/>
        <s v="072"/>
        <s v="608"/>
        <s v="536"/>
        <s v="804"/>
        <s v="061"/>
        <s v="090"/>
        <s v="182"/>
        <s v="443"/>
        <s v="471"/>
        <s v="489"/>
        <s v="513"/>
        <s v="579"/>
        <s v="607"/>
        <s v="702"/>
        <s v="769"/>
        <s v="909"/>
        <s v="151"/>
        <s v="212"/>
        <s v="245"/>
        <s v="521"/>
        <s v="922"/>
        <s v="311"/>
        <s v="855"/>
        <s v="075"/>
        <s v="331"/>
        <s v="581"/>
        <s v="214"/>
        <s v="602"/>
        <s v="727"/>
        <s v="951"/>
        <s v="542"/>
        <s v="583"/>
        <s v="076"/>
        <s v="112"/>
        <s v="571"/>
        <s v="584"/>
        <s v="063"/>
        <s v="361"/>
        <s v="606"/>
        <s v="859"/>
        <s v="218"/>
        <s v="580"/>
        <s v="741"/>
        <s v="759"/>
        <s v="836"/>
        <s v="881"/>
        <s v="796"/>
        <s v="089"/>
        <s v="749"/>
        <s v="901"/>
      </sharedItems>
    </cacheField>
    <cacheField name="産業分類" numFmtId="0" sqlType="-9">
      <sharedItems count="127">
        <s v="美容業"/>
        <s v="貸家業，貸間業"/>
        <s v="酒場，ビヤホール"/>
        <s v="バー，キャバレー，ナイトクラブ"/>
        <s v="理容業"/>
        <s v="専門料理店"/>
        <s v="療術業"/>
        <s v="土木工事業（舗装工事業を除く）"/>
        <s v="医薬品・化粧品小売業"/>
        <s v="教養・技能教授業"/>
        <s v="自動車小売業"/>
        <s v="その他の飲食料品小売業"/>
        <s v="他に分類されない小売業"/>
        <s v="不動産賃貸業（貸家業，貸間業を除く）"/>
        <s v="建築工事業（木造建築工事業を除く）"/>
        <s v="土木建築サービス業"/>
        <s v="不動産代理業・仲介業"/>
        <s v="電気工事業"/>
        <s v="自動車整備業"/>
        <s v="婦人・子供服小売業"/>
        <s v="駐車場業"/>
        <s v="管工事業（さく井工事業を除く）"/>
        <s v="喫茶店"/>
        <s v="菓子・パン小売業"/>
        <s v="野菜・果実小売業"/>
        <s v="食堂，レストラン（専門料理店を除く）"/>
        <s v="建設用・建築用金属製品製造業（製缶板金業を含む）"/>
        <s v="酒小売業"/>
        <s v="洗濯業"/>
        <s v="歯科診療所"/>
        <s v="産業機械器具卸売業"/>
        <s v="他に分類されない卸売業"/>
        <s v="建築リフォーム工事業"/>
        <s v="木造建築工事業"/>
        <s v="他に分類されない事業サービス業"/>
        <s v="不動産管理業"/>
        <s v="その他の専門サービス業"/>
        <s v="食料・飲料卸売業"/>
        <s v="通信販売・訪問販売小売業"/>
        <s v="電気機械器具卸売業"/>
        <s v="ソフトウェア業"/>
        <s v="経営コンサルタント業，純粋持株会社"/>
        <s v="建築材料卸売業"/>
        <s v="化学製品卸売業"/>
        <s v="法律事務所，特許事務所"/>
        <s v="その他の洗濯・理容・美容・浴場業"/>
        <s v="公認会計士事務所，税理士事務所"/>
        <s v="公証人役場，司法書士事務所，土地家屋調査士事務所"/>
        <s v="床・内装工事業"/>
        <s v="その他の職別工事業"/>
        <s v="老人福祉・介護事業"/>
        <s v="燃料小売業"/>
        <s v="その他の生産用機械・同部分品製造業"/>
        <s v="金属加工機械製造業"/>
        <s v="機械器具小売業（自動車，自転車を除く）"/>
        <s v="畳等生活雑貨製品製造業"/>
        <s v="家具製造業"/>
        <s v="茶・コーヒー製造業（清涼飲料を除く）"/>
        <s v="家具・建具・畳小売業"/>
        <s v="建具製造業"/>
        <s v="家具・建具・じゅう器等卸売業"/>
        <s v="造作材・合板・建築用組立材料製造業"/>
        <s v="製材業，木製品製造業"/>
        <s v="その他の木製品製造業（竹，とうを含む）"/>
        <s v="配達飲食サービス業"/>
        <s v="社会教育"/>
        <s v="学習塾"/>
        <s v="機械器具設置工事業"/>
        <s v="他に分類されない生活関連サービス業"/>
        <s v="その他の食料品製造業"/>
        <s v="一般貨物自動車運送業"/>
        <s v="農耕用品小売業"/>
        <s v="児童福祉事業"/>
        <s v="一般乗用旅客自動車運送業"/>
        <s v="他に分類されない製造業"/>
        <s v="塗装工事業"/>
        <s v="そば・うどん店"/>
        <s v="旅館，ホテル"/>
        <s v="とび・土工・コンクリート工事業"/>
        <s v="写真機・時計・眼鏡小売業"/>
        <s v="再生資源卸売業"/>
        <s v="スポーツ施設提供業"/>
        <s v="一般土木建築工事業"/>
        <s v="管理，補助的経済活動を行う事業所"/>
        <s v="プラスチックフィルム・シート・床材・合成皮革製造業"/>
        <s v="貨物軽自動車運送業"/>
        <s v="倉庫業（冷蔵倉庫業を除く）"/>
        <s v="その他の運輸に附帯するサービス業"/>
        <s v="身の回り品卸売業"/>
        <s v="その他の織物・衣服・身の回り品小売業"/>
        <s v="スポーツ用品・がん具・娯楽用品・楽器小売業"/>
        <s v="産業用機械器具賃貸業"/>
        <s v="その他の飲食店"/>
        <s v="その他の修理業"/>
        <s v="印刷業"/>
        <s v="セメント・同製品製造業"/>
        <s v="金属素形材製品製造業"/>
        <s v="農畜産物・水産物卸売業"/>
        <s v="建物サービス業"/>
        <s v="自動車・同附属品製造業"/>
        <s v="障害者福祉事業"/>
        <s v="左官工事業"/>
        <s v="電気業"/>
        <s v="各種食料品小売業"/>
        <s v="陶磁器・同関連製品製造業"/>
        <s v="じゅう器小売業"/>
        <s v="著述・芸術家業"/>
        <s v="集会場"/>
        <s v="自動車卸売業"/>
        <s v="食肉小売業"/>
        <s v="板金・金物工事業"/>
        <s v="織物業"/>
        <s v="呉服・服地・寝具小売業"/>
        <s v="鮮魚小売業"/>
        <s v="舗装工事業"/>
        <s v="上水道業"/>
        <s v="書籍・文房具小売業"/>
        <s v="その他の社会保険・社会福祉・介護事業"/>
        <s v="骨材・石工品等製造業"/>
        <s v="獣医業"/>
        <s v="その他の宿泊業"/>
        <s v="医療に附帯するサービス業"/>
        <s v="一般廃棄物処理業"/>
        <s v="冠婚葬祭業"/>
        <s v="その他の設備工事業"/>
        <s v="その他の技術サービス業"/>
        <s v="機械修理業（電気機械器具を除く）"/>
      </sharedItems>
    </cacheField>
    <cacheField name="産業小分類" numFmtId="0" sqlType="-9">
      <sharedItems count="128">
        <s v="783 美容業"/>
        <s v="692 貸家業，貸間業"/>
        <s v="765 酒場，ビヤホール"/>
        <s v="766 バー，キャバレー，ナイトクラブ"/>
        <s v="782 理容業"/>
        <s v="762 専門料理店"/>
        <s v="835 療術業"/>
        <s v="062 土木工事業（舗装工事業を除く）"/>
        <s v="603 医薬品・化粧品小売業"/>
        <s v="824 教養・技能教授業"/>
        <s v="591 自動車小売業"/>
        <s v="589 その他の飲食料品小売業"/>
        <s v="609 他に分類されない小売業"/>
        <s v="691 不動産賃貸業（貸家業，貸間業を除く）"/>
        <s v="064 建築工事業（木造建築工事業を除く）"/>
        <s v="742 土木建築サービス業"/>
        <s v="682 不動産代理業・仲介業"/>
        <s v="081 電気工事業"/>
        <s v="891 自動車整備業"/>
        <s v="573 婦人・子供服小売業"/>
        <s v="693 駐車場業"/>
        <s v="083 管工事業（さく井工事業を除く）"/>
        <s v="767 喫茶店"/>
        <s v="586 菓子・パン小売業"/>
        <s v="582 野菜・果実小売業"/>
        <s v="761 食堂，レストラン（専門料理店を除く）"/>
        <s v="244 建設用・建築用金属製品製造業（製缶板金業を含む）"/>
        <s v="585 酒小売業"/>
        <s v="781 洗濯業"/>
        <s v="833 歯科診療所"/>
        <s v="541 産業機械器具卸売業"/>
        <s v="559 他に分類されない卸売業"/>
        <s v="066 建築リフォーム工事業"/>
        <s v="065 木造建築工事業"/>
        <s v="929 他に分類されない事業サービス業"/>
        <s v="694 不動産管理業"/>
        <s v="729 その他の専門サービス業"/>
        <s v="522 食料・飲料卸売業"/>
        <s v="611 通信販売・訪問販売小売業"/>
        <s v="543 電気機械器具卸売業"/>
        <s v="391 ソフトウェア業"/>
        <s v="728 経営コンサルタント業，純粋持株会社"/>
        <s v="531 建築材料卸売業"/>
        <s v="532 化学製品卸売業"/>
        <s v="721 法律事務所，特許事務所"/>
        <s v="789 その他の洗濯・理容・美容・浴場業"/>
        <s v="724 公認会計士事務所，税理士事務所"/>
        <s v="722 公証人役場，司法書士事務所，土地家屋調査士事務所"/>
        <s v="078 床・内装工事業"/>
        <s v="079 その他の職別工事業"/>
        <s v="854 老人福祉・介護事業"/>
        <s v="605 燃料小売業"/>
        <s v="269 その他の生産用機械・同部分品製造業"/>
        <s v="266 金属加工機械製造業"/>
        <s v="593 機械器具小売業（自動車，自転車を除く）"/>
        <s v="328 畳等生活雑貨製品製造業"/>
        <s v="131 家具製造業"/>
        <s v="103 茶・コーヒー製造業（清涼飲料を除く）"/>
        <s v="601 家具・建具・畳小売業"/>
        <s v="133 建具製造業"/>
        <s v="551 家具・建具・じゅう器等卸売業"/>
        <s v="122 造作材・合板・建築用組立材料製造業"/>
        <s v="121 製材業，木製品製造業"/>
        <s v="129 その他の木製品製造業（竹，とうを含む）"/>
        <s v="772 配達飲食サービス業"/>
        <s v="821 社会教育"/>
        <s v="823 学習塾"/>
        <s v="084 機械器具設置工事業"/>
        <s v="799 他に分類されない生活関連サービス業"/>
        <s v="099 その他の食料品製造業"/>
        <s v="441 一般貨物自動車運送業"/>
        <s v="604 農耕用品小売業"/>
        <s v="853 児童福祉事業"/>
        <s v="432 一般乗用旅客自動車運送業"/>
        <s v="329 他に分類されない製造業"/>
        <s v="077 塗装工事業"/>
        <s v="763 そば・うどん店"/>
        <s v="751 旅館，ホテル"/>
        <s v="072 とび・土工・コンクリート工事業"/>
        <s v="608 写真機・時計・眼鏡小売業"/>
        <s v="536 再生資源卸売業"/>
        <s v="804 スポーツ施設提供業"/>
        <s v="061 一般土木建築工事業"/>
        <s v="090 管理，補助的経済活動を行う事業所"/>
        <s v="182 プラスチックフィルム・シート・床材・合成皮革製造業"/>
        <s v="443 貨物軽自動車運送業"/>
        <s v="471 倉庫業（冷蔵倉庫業を除く）"/>
        <s v="489 その他の運輸に附帯するサービス業"/>
        <s v="513 身の回り品卸売業"/>
        <s v="579 その他の織物・衣服・身の回り品小売業"/>
        <s v="607 スポーツ用品・がん具・娯楽用品・楽器小売業"/>
        <s v="702 産業用機械器具賃貸業"/>
        <s v="769 その他の飲食店"/>
        <s v="909 その他の修理業"/>
        <s v="151 印刷業"/>
        <s v="212 セメント・同製品製造業"/>
        <s v="245 金属素形材製品製造業"/>
        <s v="521 農畜産物・水産物卸売業"/>
        <s v="922 建物サービス業"/>
        <s v="311 自動車・同附属品製造業"/>
        <s v="855 障害者福祉事業"/>
        <s v="075 左官工事業"/>
        <s v="331 電気業"/>
        <s v="581 各種食料品小売業"/>
        <s v="214 陶磁器・同関連製品製造業"/>
        <s v="602 じゅう器小売業"/>
        <s v="727 著述・芸術家業"/>
        <s v="951 集会場"/>
        <s v="542 自動車卸売業"/>
        <s v="583 食肉小売業"/>
        <s v="076 板金・金物工事業"/>
        <s v="112 織物業"/>
        <s v="571 呉服・服地・寝具小売業"/>
        <s v="584 鮮魚小売業"/>
        <s v="063 舗装工事業"/>
        <s v="361 上水道業"/>
        <s v="606 書籍・文房具小売業"/>
        <s v="859 その他の社会保険・社会福祉・介護事業"/>
        <s v="218 骨材・石工品等製造業"/>
        <s v="580 管理，補助的経済活動を行う事業所"/>
        <s v="741 獣医業"/>
        <s v="759 その他の宿泊業"/>
        <s v="836 医療に附帯するサービス業"/>
        <s v="881 一般廃棄物処理業"/>
        <s v="796 冠婚葬祭業"/>
        <s v="089 その他の設備工事業"/>
        <s v="749 その他の技術サービス業"/>
        <s v="901 機械修理業（電気機械器具を除く）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5824" count="247">
        <n v="5824"/>
        <n v="4750"/>
        <n v="3109"/>
        <n v="3090"/>
        <n v="3002"/>
        <n v="2944"/>
        <n v="2704"/>
        <n v="2651"/>
        <n v="2169"/>
        <n v="2159"/>
        <n v="2080"/>
        <n v="2079"/>
        <n v="2076"/>
        <n v="1855"/>
        <n v="1790"/>
        <n v="1691"/>
        <n v="1628"/>
        <n v="1626"/>
        <n v="1578"/>
        <n v="1559"/>
        <n v="1206"/>
        <n v="1155"/>
        <n v="649"/>
        <n v="634"/>
        <n v="630"/>
        <n v="568"/>
        <n v="511"/>
        <n v="503"/>
        <n v="484"/>
        <n v="475"/>
        <n v="444"/>
        <n v="394"/>
        <n v="378"/>
        <n v="376"/>
        <n v="364"/>
        <n v="360"/>
        <n v="343"/>
        <n v="312"/>
        <n v="288"/>
        <n v="286"/>
        <n v="114"/>
        <n v="110"/>
        <n v="77"/>
        <n v="68"/>
        <n v="60"/>
        <n v="59"/>
        <n v="58"/>
        <n v="56"/>
        <n v="53"/>
        <n v="45"/>
        <n v="44"/>
        <n v="40"/>
        <n v="37"/>
        <n v="33"/>
        <n v="30"/>
        <n v="29"/>
        <n v="112"/>
        <n v="86"/>
        <n v="46"/>
        <n v="41"/>
        <n v="38"/>
        <n v="36"/>
        <n v="35"/>
        <n v="28"/>
        <n v="25"/>
        <n v="24"/>
        <n v="23"/>
        <n v="22"/>
        <n v="119"/>
        <n v="63"/>
        <n v="61"/>
        <n v="51"/>
        <n v="32"/>
        <n v="27"/>
        <n v="26"/>
        <n v="21"/>
        <n v="20"/>
        <n v="18"/>
        <n v="17"/>
        <n v="322"/>
        <n v="304"/>
        <n v="244"/>
        <n v="242"/>
        <n v="221"/>
        <n v="165"/>
        <n v="139"/>
        <n v="137"/>
        <n v="125"/>
        <n v="124"/>
        <n v="123"/>
        <n v="115"/>
        <n v="87"/>
        <n v="83"/>
        <n v="82"/>
        <n v="80"/>
        <n v="79"/>
        <n v="76"/>
        <n v="73"/>
        <n v="209"/>
        <n v="200"/>
        <n v="106"/>
        <n v="102"/>
        <n v="98"/>
        <n v="85"/>
        <n v="84"/>
        <n v="81"/>
        <n v="72"/>
        <n v="55"/>
        <n v="52"/>
        <n v="50"/>
        <n v="49"/>
        <n v="48"/>
        <n v="47"/>
        <n v="39"/>
        <n v="336"/>
        <n v="230"/>
        <n v="183"/>
        <n v="181"/>
        <n v="178"/>
        <n v="133"/>
        <n v="128"/>
        <n v="127"/>
        <n v="111"/>
        <n v="96"/>
        <n v="92"/>
        <n v="91"/>
        <n v="78"/>
        <n v="67"/>
        <n v="66"/>
        <n v="1794"/>
        <n v="1684"/>
        <n v="1302"/>
        <n v="1255"/>
        <n v="1213"/>
        <n v="900"/>
        <n v="845"/>
        <n v="799"/>
        <n v="788"/>
        <n v="787"/>
        <n v="689"/>
        <n v="611"/>
        <n v="586"/>
        <n v="557"/>
        <n v="551"/>
        <n v="544"/>
        <n v="536"/>
        <n v="523"/>
        <n v="494"/>
        <n v="482"/>
        <n v="267"/>
        <n v="222"/>
        <n v="129"/>
        <n v="109"/>
        <n v="101"/>
        <n v="93"/>
        <n v="65"/>
        <n v="62"/>
        <n v="609"/>
        <n v="314"/>
        <n v="300"/>
        <n v="252"/>
        <n v="250"/>
        <n v="243"/>
        <n v="231"/>
        <n v="218"/>
        <n v="201"/>
        <n v="194"/>
        <n v="173"/>
        <n v="162"/>
        <n v="143"/>
        <n v="140"/>
        <n v="500"/>
        <n v="465"/>
        <n v="408"/>
        <n v="373"/>
        <n v="362"/>
        <n v="259"/>
        <n v="239"/>
        <n v="219"/>
        <n v="217"/>
        <n v="214"/>
        <n v="199"/>
        <n v="185"/>
        <n v="179"/>
        <n v="167"/>
        <n v="157"/>
        <n v="153"/>
        <n v="147"/>
        <n v="377"/>
        <n v="266"/>
        <n v="154"/>
        <n v="151"/>
        <n v="121"/>
        <n v="118"/>
        <n v="108"/>
        <n v="99"/>
        <n v="156"/>
        <n v="90"/>
        <n v="69"/>
        <n v="54"/>
        <n v="149"/>
        <n v="34"/>
        <n v="31"/>
        <n v="232"/>
        <n v="184"/>
        <n v="146"/>
        <n v="117"/>
        <n v="113"/>
        <n v="75"/>
        <n v="74"/>
        <n v="71"/>
        <n v="64"/>
        <n v="190"/>
        <n v="402"/>
        <n v="205"/>
        <n v="188"/>
        <n v="186"/>
        <n v="170"/>
        <n v="141"/>
        <n v="136"/>
        <n v="104"/>
        <n v="97"/>
        <n v="43"/>
        <n v="19"/>
        <n v="16"/>
        <n v="89"/>
        <n v="57"/>
        <n v="42"/>
        <n v="70"/>
        <n v="15"/>
        <n v="14"/>
        <n v="174"/>
        <n v="94"/>
        <n v="11"/>
        <n v="10"/>
        <n v="9"/>
        <n v="13"/>
        <n v="12"/>
        <n v="95"/>
        <n v="8"/>
        <n v="7"/>
        <n v="6"/>
        <n v="5"/>
        <n v="4"/>
        <n v="3"/>
        <n v="2"/>
        <n v="1"/>
      </sharedItems>
    </cacheField>
    <cacheField name="構成比" numFmtId="0" sqlType="3">
      <sharedItems containsSemiMixedTypes="0" containsString="0" containsNumber="1" minValue="0.99" maxValue="19.2" count="383">
        <n v="5.01"/>
        <n v="4.09"/>
        <n v="2.68"/>
        <n v="2.66"/>
        <n v="2.58"/>
        <n v="2.5299999999999998"/>
        <n v="2.33"/>
        <n v="2.2799999999999998"/>
        <n v="1.87"/>
        <n v="1.86"/>
        <n v="1.79"/>
        <n v="1.6"/>
        <n v="1.54"/>
        <n v="1.46"/>
        <n v="1.4"/>
        <n v="1.36"/>
        <n v="1.34"/>
        <n v="5.36"/>
        <n v="5.14"/>
        <n v="2.89"/>
        <n v="2.82"/>
        <n v="2.8"/>
        <n v="2.27"/>
        <n v="2.2400000000000002"/>
        <n v="2.15"/>
        <n v="2.11"/>
        <n v="1.97"/>
        <n v="1.75"/>
        <n v="1.68"/>
        <n v="1.67"/>
        <n v="1.62"/>
        <n v="1.53"/>
        <n v="1.39"/>
        <n v="1.28"/>
        <n v="1.27"/>
        <n v="5"/>
        <n v="4.83"/>
        <n v="3.38"/>
        <n v="2.98"/>
        <n v="2.63"/>
        <n v="2.59"/>
        <n v="2.54"/>
        <n v="2.46"/>
        <n v="1.93"/>
        <n v="1.76"/>
        <n v="1.45"/>
        <n v="1.32"/>
        <n v="6.09"/>
        <n v="4.68"/>
        <n v="3.05"/>
        <n v="2.5"/>
        <n v="2.4500000000000002"/>
        <n v="2.39"/>
        <n v="2.23"/>
        <n v="2.0699999999999998"/>
        <n v="2.0099999999999998"/>
        <n v="1.96"/>
        <n v="1.9"/>
        <n v="1.58"/>
        <n v="1.52"/>
        <n v="1.31"/>
        <n v="1.25"/>
        <n v="1.2"/>
        <n v="7.84"/>
        <n v="4.1500000000000004"/>
        <n v="4.0199999999999996"/>
        <n v="3.36"/>
        <n v="2.96"/>
        <n v="2.44"/>
        <n v="2.37"/>
        <n v="2.17"/>
        <n v="1.84"/>
        <n v="1.78"/>
        <n v="1.71"/>
        <n v="1.65"/>
        <n v="1.38"/>
        <n v="1.19"/>
        <n v="1.1200000000000001"/>
        <n v="5.22"/>
        <n v="4.93"/>
        <n v="3.96"/>
        <n v="3.92"/>
        <n v="3.58"/>
        <n v="2.25"/>
        <n v="2.2200000000000002"/>
        <n v="2.0299999999999998"/>
        <n v="1.99"/>
        <n v="1.41"/>
        <n v="1.35"/>
        <n v="1.33"/>
        <n v="1.3"/>
        <n v="1.23"/>
        <n v="1.18"/>
        <n v="5.78"/>
        <n v="5.53"/>
        <n v="2.93"/>
        <n v="2.71"/>
        <n v="2.41"/>
        <n v="2.35"/>
        <n v="2.3199999999999998"/>
        <n v="2.19"/>
        <n v="1.63"/>
        <n v="1.44"/>
        <n v="4.66"/>
        <n v="4.25"/>
        <n v="3.07"/>
        <n v="2.83"/>
        <n v="2.42"/>
        <n v="2.2999999999999998"/>
        <n v="2.12"/>
        <n v="2.06"/>
        <n v="1.89"/>
        <n v="1.47"/>
        <n v="1.42"/>
        <n v="1.24"/>
        <n v="6.25"/>
        <n v="4.28"/>
        <n v="3.4"/>
        <n v="3.37"/>
        <n v="3.31"/>
        <n v="2.4700000000000002"/>
        <n v="2.38"/>
        <n v="2.36"/>
        <n v="1.69"/>
        <n v="4.57"/>
        <n v="4.29"/>
        <n v="3.32"/>
        <n v="3.2"/>
        <n v="3.09"/>
        <n v="2.29"/>
        <n v="2.04"/>
        <n v="1.56"/>
        <n v="1.49"/>
        <n v="1.37"/>
        <n v="1.26"/>
        <n v="5.71"/>
        <n v="4.75"/>
        <n v="2.76"/>
        <n v="2.16"/>
        <n v="1.73"/>
        <n v="1.43"/>
        <n v="5.92"/>
        <n v="2.92"/>
        <n v="2.78"/>
        <n v="2.4300000000000002"/>
        <n v="1.95"/>
        <n v="1.57"/>
        <n v="5.04"/>
        <n v="4.6900000000000004"/>
        <n v="4.1100000000000003"/>
        <n v="3.76"/>
        <n v="3.65"/>
        <n v="2.61"/>
        <n v="2.21"/>
        <n v="1.8"/>
        <n v="1.48"/>
        <n v="7.17"/>
        <n v="5.0599999999999996"/>
        <n v="2.87"/>
        <n v="2.72"/>
        <n v="2.13"/>
        <n v="2.0499999999999998"/>
        <n v="1.88"/>
        <n v="1.77"/>
        <n v="1.5"/>
        <n v="5.17"/>
        <n v="4.6100000000000003"/>
        <n v="2.69"/>
        <n v="1.92"/>
        <n v="1.82"/>
        <n v="1.66"/>
        <n v="8.08"/>
        <n v="7.29"/>
        <n v="3.57"/>
        <n v="2.4"/>
        <n v="1.91"/>
        <n v="1.81"/>
        <n v="5.75"/>
        <n v="4.5599999999999996"/>
        <n v="3.62"/>
        <n v="2.9"/>
        <n v="2.73"/>
        <n v="2.2599999999999998"/>
        <n v="2.08"/>
        <n v="1.83"/>
        <n v="1.61"/>
        <n v="1.59"/>
        <n v="6.46"/>
        <n v="5.3"/>
        <n v="3.13"/>
        <n v="2.5099999999999998"/>
        <n v="2.48"/>
        <n v="1.7"/>
        <n v="5.59"/>
        <n v="3.48"/>
        <n v="2.85"/>
        <n v="1.85"/>
        <n v="5.98"/>
        <n v="3.84"/>
        <n v="3.06"/>
        <n v="2.4900000000000002"/>
        <n v="2.14"/>
        <n v="1.21"/>
        <n v="1.1399999999999999"/>
        <n v="6.26"/>
        <n v="3.43"/>
        <n v="3.11"/>
        <n v="2.5499999999999998"/>
        <n v="2.31"/>
        <n v="2.2000000000000002"/>
        <n v="1.29"/>
        <n v="1.1499999999999999"/>
        <n v="7.91"/>
        <n v="4.4800000000000004"/>
        <n v="3.68"/>
        <n v="3.12"/>
        <n v="3.04"/>
        <n v="2.88"/>
        <n v="2.56"/>
        <n v="5.38"/>
        <n v="3.45"/>
        <n v="3.33"/>
        <n v="3.14"/>
        <n v="2.84"/>
        <n v="1.51"/>
        <n v="5.12"/>
        <n v="3.89"/>
        <n v="3.34"/>
        <n v="2.95"/>
        <n v="1.72"/>
        <n v="1.22"/>
        <n v="6.32"/>
        <n v="2.74"/>
        <n v="1.98"/>
        <n v="11.98"/>
        <n v="7.78"/>
        <n v="3.17"/>
        <n v="3.03"/>
        <n v="2"/>
        <n v="6.3"/>
        <n v="6.03"/>
        <n v="3.88"/>
        <n v="3.08"/>
        <n v="2.81"/>
        <n v="2.75"/>
        <n v="1.94"/>
        <n v="7.33"/>
        <n v="4.33"/>
        <n v="2.67"/>
        <n v="6.95"/>
        <n v="5.41"/>
        <n v="3.53"/>
        <n v="2.65"/>
        <n v="2.1"/>
        <n v="1.55"/>
        <n v="7.24"/>
        <n v="5.58"/>
        <n v="2.02"/>
        <n v="5.79"/>
        <n v="4.99"/>
        <n v="3.61"/>
        <n v="2.64"/>
        <n v="2.1800000000000002"/>
        <n v="6.62"/>
        <n v="4.87"/>
        <n v="3.64"/>
        <n v="6.41"/>
        <n v="4.1399999999999997"/>
        <n v="3.23"/>
        <n v="7.15"/>
        <n v="4.41"/>
        <n v="3.47"/>
        <n v="4.2300000000000004"/>
        <n v="3.87"/>
        <n v="3.42"/>
        <n v="2.7"/>
        <n v="2.52"/>
        <n v="2.34"/>
        <n v="5.0999999999999996"/>
        <n v="3.71"/>
        <n v="2.6"/>
        <n v="5.42"/>
        <n v="3.83"/>
        <n v="3.27"/>
        <n v="2.62"/>
        <n v="4.6399999999999997"/>
        <n v="4.1900000000000004"/>
        <n v="3.44"/>
        <n v="2.99"/>
        <n v="5.96"/>
        <n v="5.1100000000000003"/>
        <n v="4.47"/>
        <n v="7.69"/>
        <n v="4.76"/>
        <n v="2.94"/>
        <n v="3.85"/>
        <n v="3.78"/>
        <n v="2.79"/>
        <n v="2.57"/>
        <n v="1.74"/>
        <n v="6.12"/>
        <n v="3.51"/>
        <n v="3.28"/>
        <n v="1.1299999999999999"/>
        <n v="4.74"/>
        <n v="5.25"/>
        <n v="7.07"/>
        <n v="4.2"/>
        <n v="4.6500000000000004"/>
        <n v="4.0599999999999996"/>
        <n v="5.91"/>
        <n v="0.99"/>
        <n v="3"/>
        <n v="8.2799999999999994"/>
        <n v="5.83"/>
        <n v="4.91"/>
        <n v="4.5999999999999996"/>
        <n v="3.99"/>
        <n v="8.3800000000000008"/>
        <n v="6.43"/>
        <n v="3.7"/>
        <n v="1.17"/>
        <n v="6.99"/>
        <n v="3.59"/>
        <n v="3.02"/>
        <n v="5.44"/>
        <n v="4.8499999999999996"/>
        <n v="3.69"/>
        <n v="3.3"/>
        <n v="11.45"/>
        <n v="7.63"/>
        <n v="4.58"/>
        <n v="3.82"/>
        <n v="10"/>
        <n v="4.12"/>
        <n v="7.87"/>
        <n v="5.09"/>
        <n v="4.63"/>
        <n v="4.17"/>
        <n v="19.2"/>
        <n v="15.2"/>
        <n v="5.6"/>
        <n v="5.84"/>
        <n v="3.5"/>
        <n v="6.67"/>
        <n v="5.08"/>
        <n v="4.4400000000000004"/>
        <n v="3.81"/>
        <n v="3.49"/>
        <n v="2.86"/>
        <n v="5.63"/>
        <n v="5.4"/>
        <n v="3.52"/>
        <n v="1.64"/>
        <n v="5.21"/>
        <n v="6.79"/>
        <n v="5.43"/>
        <n v="6.93"/>
        <n v="5.94"/>
        <n v="4.95"/>
        <n v="2.97"/>
        <n v="9.01"/>
        <n v="7.45"/>
        <n v="5.28"/>
        <n v="3.73"/>
        <n v="18"/>
        <n v="7"/>
        <n v="4"/>
        <n v="16.22"/>
        <n v="9.4600000000000009"/>
        <n v="4.05"/>
        <n v="10.050000000000001"/>
        <n v="5.8"/>
        <n v="9.5"/>
        <n v="5.54"/>
        <n v="4.22"/>
        <n v="10.71"/>
        <n v="8.93"/>
        <n v="4.46"/>
        <n v="4.5"/>
        <n v="3.6"/>
        <n v="11.5"/>
        <n v="4.01"/>
      </sharedItems>
    </cacheField>
    <cacheField name="総数（個人）" numFmtId="0" sqlType="4">
      <sharedItems containsSemiMixedTypes="0" containsString="0" containsNumber="1" containsInteger="1" minValue="0" maxValue="5138" count="187">
        <n v="5138"/>
        <n v="1961"/>
        <n v="2804"/>
        <n v="2870"/>
        <n v="2885"/>
        <n v="2365"/>
        <n v="2342"/>
        <n v="439"/>
        <n v="672"/>
        <n v="1652"/>
        <n v="1337"/>
        <n v="1382"/>
        <n v="1401"/>
        <n v="289"/>
        <n v="283"/>
        <n v="528"/>
        <n v="336"/>
        <n v="434"/>
        <n v="1233"/>
        <n v="740"/>
        <n v="1049"/>
        <n v="632"/>
        <n v="623"/>
        <n v="615"/>
        <n v="572"/>
        <n v="454"/>
        <n v="155"/>
        <n v="437"/>
        <n v="331"/>
        <n v="323"/>
        <n v="66"/>
        <n v="315"/>
        <n v="87"/>
        <n v="304"/>
        <n v="39"/>
        <n v="60"/>
        <n v="197"/>
        <n v="168"/>
        <n v="58"/>
        <n v="57"/>
        <n v="99"/>
        <n v="69"/>
        <n v="77"/>
        <n v="46"/>
        <n v="53"/>
        <n v="54"/>
        <n v="51"/>
        <n v="7"/>
        <n v="41"/>
        <n v="5"/>
        <n v="9"/>
        <n v="36"/>
        <n v="26"/>
        <n v="19"/>
        <n v="27"/>
        <n v="13"/>
        <n v="25"/>
        <n v="103"/>
        <n v="55"/>
        <n v="3"/>
        <n v="45"/>
        <n v="42"/>
        <n v="15"/>
        <n v="28"/>
        <n v="33"/>
        <n v="29"/>
        <n v="12"/>
        <n v="4"/>
        <n v="6"/>
        <n v="20"/>
        <n v="82"/>
        <n v="56"/>
        <n v="49"/>
        <n v="18"/>
        <n v="24"/>
        <n v="22"/>
        <n v="8"/>
        <n v="2"/>
        <n v="16"/>
        <n v="17"/>
        <n v="10"/>
        <n v="152"/>
        <n v="244"/>
        <n v="234"/>
        <n v="187"/>
        <n v="195"/>
        <n v="102"/>
        <n v="35"/>
        <n v="120"/>
        <n v="61"/>
        <n v="65"/>
        <n v="70"/>
        <n v="132"/>
        <n v="170"/>
        <n v="98"/>
        <n v="84"/>
        <n v="14"/>
        <n v="11"/>
        <n v="44"/>
        <n v="73"/>
        <n v="64"/>
        <n v="38"/>
        <n v="37"/>
        <n v="32"/>
        <n v="107"/>
        <n v="176"/>
        <n v="163"/>
        <n v="112"/>
        <n v="81"/>
        <n v="75"/>
        <n v="68"/>
        <n v="67"/>
        <n v="52"/>
        <n v="481"/>
        <n v="1380"/>
        <n v="1132"/>
        <n v="1082"/>
        <n v="928"/>
        <n v="744"/>
        <n v="177"/>
        <n v="541"/>
        <n v="113"/>
        <n v="650"/>
        <n v="345"/>
        <n v="144"/>
        <n v="200"/>
        <n v="34"/>
        <n v="296"/>
        <n v="30"/>
        <n v="181"/>
        <n v="97"/>
        <n v="101"/>
        <n v="62"/>
        <n v="50"/>
        <n v="48"/>
        <n v="21"/>
        <n v="511"/>
        <n v="256"/>
        <n v="59"/>
        <n v="174"/>
        <n v="1"/>
        <n v="151"/>
        <n v="116"/>
        <n v="371"/>
        <n v="357"/>
        <n v="326"/>
        <n v="190"/>
        <n v="23"/>
        <n v="205"/>
        <n v="111"/>
        <n v="128"/>
        <n v="158"/>
        <n v="148"/>
        <n v="141"/>
        <n v="230"/>
        <n v="139"/>
        <n v="104"/>
        <n v="105"/>
        <n v="114"/>
        <n v="85"/>
        <n v="40"/>
        <n v="136"/>
        <n v="0"/>
        <n v="137"/>
        <n v="115"/>
        <n v="94"/>
        <n v="78"/>
        <n v="63"/>
        <n v="180"/>
        <n v="153"/>
        <n v="47"/>
        <n v="374"/>
        <n v="206"/>
        <n v="198"/>
        <n v="161"/>
        <n v="175"/>
        <n v="119"/>
        <n v="106"/>
        <n v="83"/>
        <n v="76"/>
        <n v="31"/>
        <n v="110"/>
        <n v="86"/>
        <n v="134"/>
        <n v="74"/>
        <n v="88"/>
        <n v="91"/>
      </sharedItems>
    </cacheField>
    <cacheField name="構成比（個人）" numFmtId="0" sqlType="3">
      <sharedItems containsSemiMixedTypes="0" containsString="0" containsNumber="1" minValue="0" maxValue="20.88" count="575">
        <n v="9.2100000000000009"/>
        <n v="3.51"/>
        <n v="5.0199999999999996"/>
        <n v="5.14"/>
        <n v="5.17"/>
        <n v="4.24"/>
        <n v="4.2"/>
        <n v="0.79"/>
        <n v="1.2"/>
        <n v="2.96"/>
        <n v="2.4"/>
        <n v="2.48"/>
        <n v="2.5099999999999998"/>
        <n v="0.52"/>
        <n v="0.51"/>
        <n v="0.95"/>
        <n v="0.6"/>
        <n v="0.78"/>
        <n v="2.21"/>
        <n v="1.33"/>
        <n v="9.4499999999999993"/>
        <n v="5.69"/>
        <n v="5.61"/>
        <n v="5.54"/>
        <n v="5.15"/>
        <n v="4.09"/>
        <n v="1.4"/>
        <n v="3.94"/>
        <n v="2.98"/>
        <n v="2.91"/>
        <n v="0.59"/>
        <n v="2.84"/>
        <n v="2.74"/>
        <n v="0.35"/>
        <n v="0.54"/>
        <n v="1.77"/>
        <n v="1.51"/>
        <n v="8.15"/>
        <n v="5.68"/>
        <n v="6.34"/>
        <n v="3.79"/>
        <n v="5.44"/>
        <n v="4.37"/>
        <n v="4.45"/>
        <n v="0.57999999999999996"/>
        <n v="3.38"/>
        <n v="0.41"/>
        <n v="0.74"/>
        <n v="2.97"/>
        <n v="2.14"/>
        <n v="1.57"/>
        <n v="2.2200000000000002"/>
        <n v="1.07"/>
        <n v="2.06"/>
        <n v="11.39"/>
        <n v="5.09"/>
        <n v="6.08"/>
        <n v="0.33"/>
        <n v="4.9800000000000004"/>
        <n v="4.6500000000000004"/>
        <n v="0.77"/>
        <n v="1.66"/>
        <n v="3.1"/>
        <n v="2.77"/>
        <n v="3.65"/>
        <n v="3.21"/>
        <n v="0.44"/>
        <n v="0.66"/>
        <n v="9.7899999999999991"/>
        <n v="6.68"/>
        <n v="5.85"/>
        <n v="5.37"/>
        <n v="1.79"/>
        <n v="3.46"/>
        <n v="2.15"/>
        <n v="2.86"/>
        <n v="2.63"/>
        <n v="0.72"/>
        <n v="0.36"/>
        <n v="0.24"/>
        <n v="1.91"/>
        <n v="2.0299999999999998"/>
        <n v="1.19"/>
        <n v="8.6199999999999992"/>
        <n v="8.27"/>
        <n v="6.61"/>
        <n v="6.89"/>
        <n v="3.6"/>
        <n v="2.9"/>
        <n v="1.24"/>
        <n v="0.85"/>
        <n v="1.94"/>
        <n v="7.0000000000000007E-2"/>
        <n v="2.0499999999999998"/>
        <n v="0.14000000000000001"/>
        <n v="2.2999999999999998"/>
        <n v="2.4700000000000002"/>
        <n v="0.21"/>
        <n v="0.64"/>
        <n v="8.23"/>
        <n v="10.61"/>
        <n v="0.94"/>
        <n v="6.11"/>
        <n v="5.24"/>
        <n v="2.81"/>
        <n v="0.75"/>
        <n v="1.25"/>
        <n v="1.37"/>
        <n v="4.12"/>
        <n v="0.87"/>
        <n v="2.87"/>
        <n v="2.56"/>
        <n v="2.1800000000000002"/>
        <n v="0.37"/>
        <n v="0.69"/>
        <n v="0.19"/>
        <n v="2.62"/>
        <n v="7.71"/>
        <n v="6.76"/>
        <n v="5.39"/>
        <n v="4.75"/>
        <n v="4.01"/>
        <n v="3.91"/>
        <n v="3.7"/>
        <n v="1.9"/>
        <n v="2.5299999999999998"/>
        <n v="1.8"/>
        <n v="0.53"/>
        <n v="2.64"/>
        <n v="0.32"/>
        <n v="0.63"/>
        <n v="1.48"/>
        <n v="10.99"/>
        <n v="3.87"/>
        <n v="6.15"/>
        <n v="6.36"/>
        <n v="5.89"/>
        <n v="4.05"/>
        <n v="3.58"/>
        <n v="0.9"/>
        <n v="2.93"/>
        <n v="2.71"/>
        <n v="0.47"/>
        <n v="2.46"/>
        <n v="2.42"/>
        <n v="0.65"/>
        <n v="1.88"/>
        <n v="0.43"/>
        <n v="3.23"/>
        <n v="9.27"/>
        <n v="7.6"/>
        <n v="7.27"/>
        <n v="6.23"/>
        <n v="5"/>
        <n v="0.67"/>
        <n v="3.63"/>
        <n v="0.76"/>
        <n v="2.3199999999999998"/>
        <n v="0.97"/>
        <n v="0.22"/>
        <n v="1.34"/>
        <n v="0.23"/>
        <n v="0.26"/>
        <n v="1.99"/>
        <n v="0.2"/>
        <n v="3.76"/>
        <n v="10.65"/>
        <n v="6.06"/>
        <n v="5.71"/>
        <n v="6"/>
        <n v="5.94"/>
        <n v="2.94"/>
        <n v="2.82"/>
        <n v="1.76"/>
        <n v="1.06"/>
        <n v="0.28999999999999998"/>
        <n v="18.23"/>
        <n v="9.1300000000000008"/>
        <n v="2.1"/>
        <n v="0.18"/>
        <n v="6.21"/>
        <n v="0.04"/>
        <n v="0.5"/>
        <n v="0.56999999999999995"/>
        <n v="4.1399999999999997"/>
        <n v="2.2799999999999998"/>
        <n v="9.3699999999999992"/>
        <n v="9.01"/>
        <n v="8.48"/>
        <n v="1.74"/>
        <n v="0.91"/>
        <n v="4.8"/>
        <n v="1.29"/>
        <n v="5.18"/>
        <n v="2.8"/>
        <n v="0.3"/>
        <n v="3.99"/>
        <n v="0.4"/>
        <n v="3.74"/>
        <n v="6.25"/>
        <n v="10.199999999999999"/>
        <n v="6.16"/>
        <n v="2.13"/>
        <n v="5.32"/>
        <n v="4.6100000000000003"/>
        <n v="4.66"/>
        <n v="5.0599999999999996"/>
        <n v="1.02"/>
        <n v="0.27"/>
        <n v="3.77"/>
        <n v="0.49"/>
        <n v="0.31"/>
        <n v="2.04"/>
        <n v="10.53"/>
        <n v="2.88"/>
        <n v="5.76"/>
        <n v="4.6900000000000004"/>
        <n v="5.43"/>
        <n v="3.45"/>
        <n v="0.25"/>
        <n v="3.95"/>
        <n v="0.99"/>
        <n v="1.32"/>
        <n v="3.29"/>
        <n v="0.82"/>
        <n v="7.81"/>
        <n v="13.79"/>
        <n v="6.9"/>
        <n v="6.59"/>
        <n v="0.81"/>
        <n v="1.62"/>
        <n v="4.16"/>
        <n v="3.35"/>
        <n v="1.93"/>
        <n v="0.71"/>
        <n v="1.22"/>
        <n v="0"/>
        <n v="1.83"/>
        <n v="0.61"/>
        <n v="10.029999999999999"/>
        <n v="6.98"/>
        <n v="5.86"/>
        <n v="4.99"/>
        <n v="4.79"/>
        <n v="3.97"/>
        <n v="2.4900000000000002"/>
        <n v="1.63"/>
        <n v="1.17"/>
        <n v="9.77"/>
        <n v="8.3000000000000007"/>
        <n v="5.26"/>
        <n v="4.4000000000000004"/>
        <n v="2.5499999999999998"/>
        <n v="3.31"/>
        <n v="1.52"/>
        <n v="2.39"/>
        <n v="1.47"/>
        <n v="9.49"/>
        <n v="2.92"/>
        <n v="5.23"/>
        <n v="4.08"/>
        <n v="3.86"/>
        <n v="4.4400000000000004"/>
        <n v="1.55"/>
        <n v="3.02"/>
        <n v="2.69"/>
        <n v="2.11"/>
        <n v="1.42"/>
        <n v="1.04"/>
        <n v="0.96"/>
        <n v="10.54"/>
        <n v="1.39"/>
        <n v="6.24"/>
        <n v="5.83"/>
        <n v="4.3"/>
        <n v="3.33"/>
        <n v="2.5"/>
        <n v="1.1100000000000001"/>
        <n v="0.55000000000000004"/>
        <n v="0.28000000000000003"/>
        <n v="2.08"/>
        <n v="10.23"/>
        <n v="6.91"/>
        <n v="0.88"/>
        <n v="5.46"/>
        <n v="4.21"/>
        <n v="4.0199999999999996"/>
        <n v="3.01"/>
        <n v="1.1299999999999999"/>
        <n v="3.14"/>
        <n v="2.2000000000000002"/>
        <n v="0.13"/>
        <n v="1.44"/>
        <n v="11.81"/>
        <n v="7.04"/>
        <n v="5.53"/>
        <n v="4.9000000000000004"/>
        <n v="3.27"/>
        <n v="2.2599999999999998"/>
        <n v="1.26"/>
        <n v="1.01"/>
        <n v="8.1300000000000008"/>
        <n v="3.69"/>
        <n v="1.23"/>
        <n v="4.91"/>
        <n v="2.65"/>
        <n v="1.7"/>
        <n v="1.89"/>
        <n v="7.1"/>
        <n v="5.2"/>
        <n v="4.29"/>
        <n v="3.22"/>
        <n v="1.1599999999999999"/>
        <n v="1.65"/>
        <n v="1.82"/>
        <n v="9.1999999999999993"/>
        <n v="5.62"/>
        <n v="3.9"/>
        <n v="1.72"/>
        <n v="0.62"/>
        <n v="3.28"/>
        <n v="3.12"/>
        <n v="0.16"/>
        <n v="1.0900000000000001"/>
        <n v="1.56"/>
        <n v="1.87"/>
        <n v="14.18"/>
        <n v="11.11"/>
        <n v="1.27"/>
        <n v="2.4300000000000002"/>
        <n v="4.13"/>
        <n v="3.49"/>
        <n v="2.54"/>
        <n v="1.38"/>
        <n v="2.12"/>
        <n v="2.33"/>
        <n v="1.59"/>
        <n v="8.5500000000000007"/>
        <n v="9.4700000000000006"/>
        <n v="6.58"/>
        <n v="1.85"/>
        <n v="4.2699999999999996"/>
        <n v="4.04"/>
        <n v="4.5"/>
        <n v="2.66"/>
        <n v="2.89"/>
        <n v="1.1499999999999999"/>
        <n v="0.92"/>
        <n v="11.93"/>
        <n v="5.1100000000000003"/>
        <n v="4.55"/>
        <n v="3.41"/>
        <n v="1.1399999999999999"/>
        <n v="2.27"/>
        <n v="11.07"/>
        <n v="6.32"/>
        <n v="3.16"/>
        <n v="1.98"/>
        <n v="2.57"/>
        <n v="1.58"/>
        <n v="8.35"/>
        <n v="8.9600000000000009"/>
        <n v="4.68"/>
        <n v="3.67"/>
        <n v="3.26"/>
        <n v="2.2400000000000002"/>
        <n v="1.43"/>
        <n v="2.85"/>
        <n v="3.05"/>
        <n v="2.44"/>
        <n v="10.14"/>
        <n v="7.01"/>
        <n v="5.63"/>
        <n v="4.38"/>
        <n v="3.13"/>
        <n v="2"/>
        <n v="1.75"/>
        <n v="6.47"/>
        <n v="9.08"/>
        <n v="5.22"/>
        <n v="0.84"/>
        <n v="4.28"/>
        <n v="3.34"/>
        <n v="0.73"/>
        <n v="10.06"/>
        <n v="8.91"/>
        <n v="0.34"/>
        <n v="3.89"/>
        <n v="4.57"/>
        <n v="1.6"/>
        <n v="0.8"/>
        <n v="3.09"/>
        <n v="12.28"/>
        <n v="5.13"/>
        <n v="4.72"/>
        <n v="3.37"/>
        <n v="3.24"/>
        <n v="1.21"/>
        <n v="9.6300000000000008"/>
        <n v="4.82"/>
        <n v="5.96"/>
        <n v="3.44"/>
        <n v="5.5"/>
        <n v="1.61"/>
        <n v="5.05"/>
        <n v="9.61"/>
        <n v="5.36"/>
        <n v="4.8099999999999996"/>
        <n v="3.88"/>
        <n v="8.4700000000000006"/>
        <n v="6.27"/>
        <n v="5.42"/>
        <n v="2.37"/>
        <n v="3.56"/>
        <n v="0.68"/>
        <n v="3.39"/>
        <n v="1.53"/>
        <n v="1.36"/>
        <n v="1.69"/>
        <n v="7.08"/>
        <n v="6.39"/>
        <n v="5.48"/>
        <n v="0.46"/>
        <n v="3.2"/>
        <n v="11.21"/>
        <n v="10.34"/>
        <n v="0.86"/>
        <n v="4.3099999999999996"/>
        <n v="2.16"/>
        <n v="2.59"/>
        <n v="11.73"/>
        <n v="3.98"/>
        <n v="7.5"/>
        <n v="6.45"/>
        <n v="1.05"/>
        <n v="4.34"/>
        <n v="3.82"/>
        <n v="2.76"/>
        <n v="1.84"/>
        <n v="1.71"/>
        <n v="1.97"/>
        <n v="1.18"/>
        <n v="9.36"/>
        <n v="5.03"/>
        <n v="2.6"/>
        <n v="3.64"/>
        <n v="0.17"/>
        <n v="1.73"/>
        <n v="7.32"/>
        <n v="4.88"/>
        <n v="3.32"/>
        <n v="0.98"/>
        <n v="1.46"/>
        <n v="2.83"/>
        <n v="8.2799999999999994"/>
        <n v="3.84"/>
        <n v="3.03"/>
        <n v="1.35"/>
        <n v="1.08"/>
        <n v="4.59"/>
        <n v="2.7"/>
        <n v="11.98"/>
        <n v="5.21"/>
        <n v="5.73"/>
        <n v="4.17"/>
        <n v="6.81"/>
        <n v="9.5399999999999991"/>
        <n v="3"/>
        <n v="5.45"/>
        <n v="2.72"/>
        <n v="4.3600000000000003"/>
        <n v="3.81"/>
        <n v="2.4500000000000002"/>
        <n v="1.92"/>
        <n v="4.62"/>
        <n v="4.2300000000000004"/>
        <n v="0.38"/>
        <n v="2.31"/>
        <n v="1.54"/>
        <n v="3.85"/>
        <n v="3.08"/>
        <n v="6.13"/>
        <n v="7.98"/>
        <n v="3.07"/>
        <n v="6.67"/>
        <n v="5.33"/>
        <n v="4"/>
        <n v="2.67"/>
        <n v="7.96"/>
        <n v="5.19"/>
        <n v="4.1500000000000004"/>
        <n v="12.2"/>
        <n v="7.8"/>
        <n v="1.95"/>
        <n v="9.6199999999999992"/>
        <n v="6.53"/>
        <n v="4.47"/>
        <n v="3.78"/>
        <n v="2.75"/>
        <n v="2.41"/>
        <n v="1.03"/>
        <n v="12.06"/>
        <n v="6.38"/>
        <n v="8.4499999999999993"/>
        <n v="8.1"/>
        <n v="6.69"/>
        <n v="0.7"/>
        <n v="3.17"/>
        <n v="1.41"/>
        <n v="15.63"/>
        <n v="9.3800000000000008"/>
        <n v="8.93"/>
        <n v="7.74"/>
        <n v="4.76"/>
        <n v="3.57"/>
        <n v="2.38"/>
        <n v="12.14"/>
        <n v="7.14"/>
        <n v="6.43"/>
        <n v="7.22"/>
        <n v="6.84"/>
        <n v="3.8"/>
        <n v="3.42"/>
        <n v="3.04"/>
        <n v="16.48"/>
        <n v="20.88"/>
        <n v="5.49"/>
        <n v="7.69"/>
        <n v="3.3"/>
        <n v="1.1000000000000001"/>
        <n v="8.9700000000000006"/>
        <n v="2.0699999999999998"/>
        <n v="5.52"/>
        <n v="6.73"/>
        <n v="5.29"/>
        <n v="0.48"/>
        <n v="8.02"/>
        <n v="8.4"/>
        <n v="4.96"/>
        <n v="2.29"/>
        <n v="9.09"/>
        <n v="8.26"/>
        <n v="0.83"/>
        <n v="8.11"/>
        <n v="4.7300000000000004"/>
        <n v="11.54"/>
        <n v="5.77"/>
        <n v="11.4"/>
        <n v="8.81"/>
        <n v="6.22"/>
        <n v="3.11"/>
        <n v="8.77"/>
        <n v="7.02"/>
        <n v="15.38"/>
        <n v="13.46"/>
        <n v="8.98"/>
        <n v="5.31"/>
        <n v="12.47"/>
        <n v="6.65"/>
        <n v="9.25"/>
        <n v="7.05"/>
        <n v="3.52"/>
        <n v="3.96"/>
        <n v="16"/>
        <n v="10.67"/>
        <n v="8"/>
        <n v="7.58"/>
        <n v="6.09"/>
        <n v="7.39"/>
        <n v="6.52"/>
        <n v="4.78"/>
        <n v="2.17"/>
        <n v="3.48"/>
        <n v="2.61"/>
        <n v="1.3"/>
      </sharedItems>
    </cacheField>
    <cacheField name="総数（法人）" numFmtId="0" sqlType="4">
      <sharedItems containsSemiMixedTypes="0" containsString="0" containsNumber="1" containsInteger="1" minValue="0" maxValue="2777" count="169">
        <n v="686"/>
        <n v="2777"/>
        <n v="305"/>
        <n v="220"/>
        <n v="116"/>
        <n v="579"/>
        <n v="361"/>
        <n v="2212"/>
        <n v="1496"/>
        <n v="501"/>
        <n v="743"/>
        <n v="691"/>
        <n v="673"/>
        <n v="1563"/>
        <n v="1507"/>
        <n v="1146"/>
        <n v="1292"/>
        <n v="1192"/>
        <n v="344"/>
        <n v="819"/>
        <n v="157"/>
        <n v="523"/>
        <n v="26"/>
        <n v="19"/>
        <n v="58"/>
        <n v="114"/>
        <n v="356"/>
        <n v="66"/>
        <n v="153"/>
        <n v="152"/>
        <n v="378"/>
        <n v="79"/>
        <n v="291"/>
        <n v="71"/>
        <n v="325"/>
        <n v="300"/>
        <n v="146"/>
        <n v="144"/>
        <n v="230"/>
        <n v="229"/>
        <n v="15"/>
        <n v="41"/>
        <n v="0"/>
        <n v="22"/>
        <n v="2"/>
        <n v="7"/>
        <n v="5"/>
        <n v="49"/>
        <n v="12"/>
        <n v="40"/>
        <n v="35"/>
        <n v="3"/>
        <n v="8"/>
        <n v="14"/>
        <n v="18"/>
        <n v="6"/>
        <n v="17"/>
        <n v="10"/>
        <n v="4"/>
        <n v="9"/>
        <n v="1"/>
        <n v="43"/>
        <n v="34"/>
        <n v="23"/>
        <n v="11"/>
        <n v="21"/>
        <n v="37"/>
        <n v="16"/>
        <n v="170"/>
        <n v="60"/>
        <n v="55"/>
        <n v="63"/>
        <n v="57"/>
        <n v="102"/>
        <n v="101"/>
        <n v="68"/>
        <n v="13"/>
        <n v="81"/>
        <n v="24"/>
        <n v="70"/>
        <n v="75"/>
        <n v="67"/>
        <n v="77"/>
        <n v="30"/>
        <n v="91"/>
        <n v="42"/>
        <n v="73"/>
        <n v="64"/>
        <n v="62"/>
        <n v="65"/>
        <n v="20"/>
        <n v="36"/>
        <n v="46"/>
        <n v="32"/>
        <n v="25"/>
        <n v="123"/>
        <n v="92"/>
        <n v="29"/>
        <n v="87"/>
        <n v="27"/>
        <n v="86"/>
        <n v="61"/>
        <n v="1309"/>
        <n v="304"/>
        <n v="173"/>
        <n v="285"/>
        <n v="156"/>
        <n v="744"/>
        <n v="622"/>
        <n v="246"/>
        <n v="674"/>
        <n v="39"/>
        <n v="266"/>
        <n v="442"/>
        <n v="510"/>
        <n v="351"/>
        <n v="509"/>
        <n v="494"/>
        <n v="226"/>
        <n v="464"/>
        <n v="448"/>
        <n v="202"/>
        <n v="31"/>
        <n v="28"/>
        <n v="47"/>
        <n v="59"/>
        <n v="50"/>
        <n v="54"/>
        <n v="98"/>
        <n v="238"/>
        <n v="281"/>
        <n v="241"/>
        <n v="76"/>
        <n v="242"/>
        <n v="217"/>
        <n v="221"/>
        <n v="186"/>
        <n v="155"/>
        <n v="127"/>
        <n v="69"/>
        <n v="129"/>
        <n v="108"/>
        <n v="72"/>
        <n v="293"/>
        <n v="222"/>
        <n v="207"/>
        <n v="168"/>
        <n v="103"/>
        <n v="167"/>
        <n v="151"/>
        <n v="148"/>
        <n v="138"/>
        <n v="236"/>
        <n v="33"/>
        <n v="93"/>
        <n v="82"/>
        <n v="85"/>
        <n v="51"/>
        <n v="104"/>
        <n v="38"/>
        <n v="88"/>
        <n v="48"/>
        <n v="135"/>
        <n v="109"/>
        <n v="117"/>
        <n v="84"/>
        <n v="44"/>
        <n v="45"/>
        <n v="53"/>
      </sharedItems>
    </cacheField>
    <cacheField name="構成比（法人）" numFmtId="0" sqlType="3">
      <sharedItems containsSemiMixedTypes="0" containsString="0" containsNumber="1" minValue="0" maxValue="28.21" count="442">
        <n v="1.1599999999999999"/>
        <n v="4.6900000000000004"/>
        <n v="0.51"/>
        <n v="0.37"/>
        <n v="0.2"/>
        <n v="0.98"/>
        <n v="0.61"/>
        <n v="3.73"/>
        <n v="2.52"/>
        <n v="0.85"/>
        <n v="1.25"/>
        <n v="1.17"/>
        <n v="1.1399999999999999"/>
        <n v="2.64"/>
        <n v="2.54"/>
        <n v="1.93"/>
        <n v="2.1800000000000002"/>
        <n v="2.0099999999999998"/>
        <n v="0.57999999999999996"/>
        <n v="1.38"/>
        <n v="1.4"/>
        <n v="4.68"/>
        <n v="0.23"/>
        <n v="0.17"/>
        <n v="0.52"/>
        <n v="1.02"/>
        <n v="3.18"/>
        <n v="0.59"/>
        <n v="1.37"/>
        <n v="1.36"/>
        <n v="3.38"/>
        <n v="0.71"/>
        <n v="2.6"/>
        <n v="0.64"/>
        <n v="2.91"/>
        <n v="2.68"/>
        <n v="1.31"/>
        <n v="1.29"/>
        <n v="2.06"/>
        <n v="2.0499999999999998"/>
        <n v="1.45"/>
        <n v="3.97"/>
        <n v="0"/>
        <n v="2.13"/>
        <n v="0.19"/>
        <n v="0.68"/>
        <n v="0.48"/>
        <n v="4.75"/>
        <n v="3.88"/>
        <n v="3.39"/>
        <n v="0.28999999999999998"/>
        <n v="0.78"/>
        <n v="1.74"/>
        <n v="1.65"/>
        <n v="0.97"/>
        <n v="0.39"/>
        <n v="4.37"/>
        <n v="0.11"/>
        <n v="0.22"/>
        <n v="3.71"/>
        <n v="2.5099999999999998"/>
        <n v="1.2"/>
        <n v="0.55000000000000004"/>
        <n v="1.86"/>
        <n v="0.33"/>
        <n v="2.29"/>
        <n v="1.97"/>
        <n v="2.0699999999999998"/>
        <n v="1.0900000000000001"/>
        <n v="5.56"/>
        <n v="1.05"/>
        <n v="0.75"/>
        <n v="0.3"/>
        <n v="3.31"/>
        <n v="0.45"/>
        <n v="0.6"/>
        <n v="0.9"/>
        <n v="1.5"/>
        <n v="2.56"/>
        <n v="2.41"/>
        <n v="2.71"/>
        <n v="2.86"/>
        <n v="0.15"/>
        <n v="5.16"/>
        <n v="1.82"/>
        <n v="1.67"/>
        <n v="0.79"/>
        <n v="1.91"/>
        <n v="1.73"/>
        <n v="3.09"/>
        <n v="3.06"/>
        <n v="0.12"/>
        <n v="2.46"/>
        <n v="0.73"/>
        <n v="2.12"/>
        <n v="2.2799999999999998"/>
        <n v="0.18"/>
        <n v="2.0299999999999998"/>
        <n v="3.89"/>
        <n v="1.52"/>
        <n v="4.5999999999999996"/>
        <n v="3.69"/>
        <n v="3.24"/>
        <n v="3.14"/>
        <n v="0.76"/>
        <n v="3.29"/>
        <n v="1.32"/>
        <n v="0.91"/>
        <n v="1.01"/>
        <n v="2.48"/>
        <n v="2.33"/>
        <n v="1.62"/>
        <n v="4.79"/>
        <n v="0.82"/>
        <n v="0.14000000000000001"/>
        <n v="0.41"/>
        <n v="2.74"/>
        <n v="3.42"/>
        <n v="2.87"/>
        <n v="0.96"/>
        <n v="4.8"/>
        <n v="3.59"/>
        <n v="1.1299999999999999"/>
        <n v="3.98"/>
        <n v="3.36"/>
        <n v="3.08"/>
        <n v="0.62"/>
        <n v="2.38"/>
        <n v="2.15"/>
        <n v="1.79"/>
        <n v="5.45"/>
        <n v="1.26"/>
        <n v="0.72"/>
        <n v="1.19"/>
        <n v="0.65"/>
        <n v="2.59"/>
        <n v="2.8"/>
        <n v="0.16"/>
        <n v="1.1100000000000001"/>
        <n v="1.84"/>
        <n v="1.46"/>
        <n v="0.94"/>
        <n v="6.9"/>
        <n v="0.89"/>
        <n v="0.27"/>
        <n v="1.06"/>
        <n v="2.39"/>
        <n v="1.57"/>
        <n v="1.23"/>
        <n v="1.61"/>
        <n v="2.02"/>
        <n v="1.88"/>
        <n v="1.71"/>
        <n v="1.85"/>
        <n v="3.21"/>
        <n v="3.79"/>
        <n v="3.25"/>
        <n v="1.03"/>
        <n v="3.27"/>
        <n v="2.93"/>
        <n v="2.98"/>
        <n v="2.73"/>
        <n v="2.09"/>
        <n v="2.11"/>
        <n v="0.36"/>
        <n v="1.66"/>
        <n v="0.93"/>
        <n v="1.22"/>
        <n v="4.95"/>
        <n v="3.75"/>
        <n v="0.83"/>
        <n v="3.49"/>
        <n v="2.84"/>
        <n v="2.82"/>
        <n v="0.35"/>
        <n v="2.5499999999999998"/>
        <n v="2.5"/>
        <n v="0.08"/>
        <n v="7.98"/>
        <n v="3.48"/>
        <n v="1.1200000000000001"/>
        <n v="0.74"/>
        <n v="0.24"/>
        <n v="3.15"/>
        <n v="2.77"/>
        <n v="2.57"/>
        <n v="2.4700000000000002"/>
        <n v="1.72"/>
        <n v="2.16"/>
        <n v="2.23"/>
        <n v="0.88"/>
        <n v="1.59"/>
        <n v="5.92"/>
        <n v="4.66"/>
        <n v="0.63"/>
        <n v="2.62"/>
        <n v="3.13"/>
        <n v="0.4"/>
        <n v="8.4700000000000006"/>
        <n v="0.38"/>
        <n v="4.1399999999999997"/>
        <n v="0.77"/>
        <n v="1.92"/>
        <n v="3.37"/>
        <n v="2.89"/>
        <n v="1.35"/>
        <n v="2.21"/>
        <n v="7.29"/>
        <n v="0.44"/>
        <n v="0.1"/>
        <n v="1.33"/>
        <n v="3.55"/>
        <n v="3.05"/>
        <n v="3"/>
        <n v="3.1"/>
        <n v="2.3199999999999998"/>
        <n v="0.05"/>
        <n v="0.92"/>
        <n v="0.28000000000000003"/>
        <n v="3.77"/>
        <n v="2.67"/>
        <n v="1.75"/>
        <n v="4.42"/>
        <n v="2.2999999999999998"/>
        <n v="0.87"/>
        <n v="4.2"/>
        <n v="0.47"/>
        <n v="0.84"/>
        <n v="0.25"/>
        <n v="3.64"/>
        <n v="1.43"/>
        <n v="2.61"/>
        <n v="1.96"/>
        <n v="1.77"/>
        <n v="6.53"/>
        <n v="1.63"/>
        <n v="4.01"/>
        <n v="2.97"/>
        <n v="3.26"/>
        <n v="1.78"/>
        <n v="2.08"/>
        <n v="1.04"/>
        <n v="1.28"/>
        <n v="6.74"/>
        <n v="1.44"/>
        <n v="3.61"/>
        <n v="0.8"/>
        <n v="1.8"/>
        <n v="6.08"/>
        <n v="2.25"/>
        <n v="3.6"/>
        <n v="2.7"/>
        <n v="0.53"/>
        <n v="3.17"/>
        <n v="7.41"/>
        <n v="1.76"/>
        <n v="3.53"/>
        <n v="1.27"/>
        <n v="2"/>
        <n v="1.64"/>
        <n v="1.95"/>
        <n v="0.49"/>
        <n v="2.19"/>
        <n v="2.92"/>
        <n v="4.38"/>
        <n v="3.41"/>
        <n v="2.4300000000000002"/>
        <n v="8"/>
        <n v="1.6"/>
        <n v="6.8"/>
        <n v="1"/>
        <n v="4.4000000000000004"/>
        <n v="3.4"/>
        <n v="3.28"/>
        <n v="4.92"/>
        <n v="2.79"/>
        <n v="3.93"/>
        <n v="8.3699999999999992"/>
        <n v="2.2000000000000002"/>
        <n v="5.73"/>
        <n v="11.05"/>
        <n v="5.14"/>
        <n v="2.83"/>
        <n v="1.54"/>
        <n v="0.26"/>
        <n v="3.34"/>
        <n v="5.9"/>
        <n v="1.47"/>
        <n v="5.31"/>
        <n v="3.54"/>
        <n v="2.65"/>
        <n v="2.95"/>
        <n v="2.36"/>
        <n v="5.82"/>
        <n v="4.3099999999999996"/>
        <n v="0.54"/>
        <n v="1.83"/>
        <n v="1.08"/>
        <n v="6.94"/>
        <n v="0.31"/>
        <n v="4.04"/>
        <n v="2.4900000000000002"/>
        <n v="3.11"/>
        <n v="4.09"/>
        <n v="2.31"/>
        <n v="3.86"/>
        <n v="3.01"/>
        <n v="2.2400000000000002"/>
        <n v="9.23"/>
        <n v="5.32"/>
        <n v="5.54"/>
        <n v="2.1"/>
        <n v="2.69"/>
        <n v="0.56000000000000005"/>
        <n v="2.2599999999999998"/>
        <n v="3.76"/>
        <n v="3.95"/>
        <n v="2.44"/>
        <n v="1.69"/>
        <n v="0.42"/>
        <n v="6.75"/>
        <n v="1.48"/>
        <n v="3.16"/>
        <n v="2.5299999999999998"/>
        <n v="3.8"/>
        <n v="1.9"/>
        <n v="8.6"/>
        <n v="7.24"/>
        <n v="1.81"/>
        <n v="4.07"/>
        <n v="8.41"/>
        <n v="10.64"/>
        <n v="1.7"/>
        <n v="0.43"/>
        <n v="3.83"/>
        <n v="7.59"/>
        <n v="4.5199999999999996"/>
        <n v="2.35"/>
        <n v="2.17"/>
        <n v="11.19"/>
        <n v="1.99"/>
        <n v="5.1100000000000003"/>
        <n v="0.56999999999999995"/>
        <n v="0.99"/>
        <n v="1.56"/>
        <n v="3.32"/>
        <n v="4.0199999999999996"/>
        <n v="3.5"/>
        <n v="2.4500000000000002"/>
        <n v="2.27"/>
        <n v="0.7"/>
        <n v="3.67"/>
        <n v="3.85"/>
        <n v="4.74"/>
        <n v="3.99"/>
        <n v="3.74"/>
        <n v="0.5"/>
        <n v="1.94"/>
        <n v="7.33"/>
        <n v="3.2"/>
        <n v="2.63"/>
        <n v="6.92"/>
        <n v="4.72"/>
        <n v="1.89"/>
        <n v="3.46"/>
        <n v="5.47"/>
        <n v="5.78"/>
        <n v="4.53"/>
        <n v="2.96"/>
        <n v="1.39"/>
        <n v="12.5"/>
        <n v="8.0399999999999991"/>
        <n v="3.57"/>
        <n v="5.36"/>
        <n v="4.46"/>
        <n v="16.97"/>
        <n v="4.13"/>
        <n v="0.46"/>
        <n v="4.59"/>
        <n v="4.08"/>
        <n v="9.61"/>
        <n v="19.7"/>
        <n v="9.09"/>
        <n v="3.03"/>
        <n v="14.71"/>
        <n v="2.94"/>
        <n v="13.7"/>
        <n v="4.1100000000000003"/>
        <n v="5.48"/>
        <n v="2.4"/>
        <n v="7.69"/>
        <n v="2.88"/>
        <n v="28.13"/>
        <n v="6.25"/>
        <n v="7.48"/>
        <n v="4.67"/>
        <n v="1.87"/>
        <n v="4.9000000000000004"/>
        <n v="3.92"/>
        <n v="5.88"/>
        <n v="12.12"/>
        <n v="7.58"/>
        <n v="6.06"/>
        <n v="4.55"/>
        <n v="22.39"/>
        <n v="1.49"/>
        <n v="8.9600000000000009"/>
        <n v="4.4800000000000004"/>
        <n v="2.99"/>
        <n v="15.56"/>
        <n v="2.2200000000000002"/>
        <n v="11.11"/>
        <n v="8.89"/>
        <n v="4.4400000000000004"/>
        <n v="20.47"/>
        <n v="3.94"/>
        <n v="5.51"/>
        <n v="28.21"/>
        <n v="5.13"/>
        <n v="20"/>
        <n v="15"/>
        <n v="5"/>
        <n v="10"/>
        <n v="21.68"/>
        <n v="7.43"/>
        <n v="3.47"/>
        <n v="4.21"/>
        <n v="1.98"/>
        <n v="2.72"/>
        <n v="16.670000000000002"/>
        <n v="3.62"/>
        <n v="7.25"/>
        <n v="4.3499999999999996"/>
        <n v="2.9"/>
        <n v="5.41"/>
        <n v="8.11"/>
        <n v="16.28"/>
        <n v="9.3000000000000007"/>
        <n v="4.6500000000000004"/>
        <n v="6.98"/>
        <n v="21.8"/>
        <n v="4.51"/>
      </sharedItems>
    </cacheField>
    <cacheField name="総数（法人以外の団体）" numFmtId="0" sqlType="4">
      <sharedItems containsSemiMixedTypes="0" containsString="0" containsNumber="1" containsInteger="1" minValue="0" maxValue="12" count="9">
        <n v="0"/>
        <n v="1"/>
        <n v="6"/>
        <n v="2"/>
        <n v="3"/>
        <n v="12"/>
        <n v="4"/>
        <n v="5"/>
        <n v="1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25">
  <r>
    <x v="0"/>
    <s v="福岡県"/>
    <x v="0"/>
    <x v="0"/>
    <n v="14"/>
    <n v="0.01"/>
    <n v="1"/>
    <n v="0"/>
    <n v="13"/>
    <n v="0.02"/>
    <x v="0"/>
  </r>
  <r>
    <x v="0"/>
    <s v="福岡県"/>
    <x v="0"/>
    <x v="1"/>
    <n v="15601"/>
    <n v="13.43"/>
    <n v="4065"/>
    <n v="7.28"/>
    <n v="11535"/>
    <n v="19.47"/>
    <x v="1"/>
  </r>
  <r>
    <x v="0"/>
    <s v="福岡県"/>
    <x v="0"/>
    <x v="2"/>
    <n v="7184"/>
    <n v="6.18"/>
    <n v="2815"/>
    <n v="5.04"/>
    <n v="4350"/>
    <n v="7.34"/>
    <x v="2"/>
  </r>
  <r>
    <x v="0"/>
    <s v="福岡県"/>
    <x v="0"/>
    <x v="3"/>
    <n v="208"/>
    <n v="0.18"/>
    <n v="2"/>
    <n v="0"/>
    <n v="171"/>
    <n v="0.28999999999999998"/>
    <x v="0"/>
  </r>
  <r>
    <x v="0"/>
    <s v="福岡県"/>
    <x v="0"/>
    <x v="4"/>
    <n v="1494"/>
    <n v="1.29"/>
    <n v="90"/>
    <n v="0.16"/>
    <n v="1401"/>
    <n v="2.36"/>
    <x v="3"/>
  </r>
  <r>
    <x v="0"/>
    <s v="福岡県"/>
    <x v="0"/>
    <x v="5"/>
    <n v="1311"/>
    <n v="1.1299999999999999"/>
    <n v="330"/>
    <n v="0.59"/>
    <n v="968"/>
    <n v="1.63"/>
    <x v="4"/>
  </r>
  <r>
    <x v="0"/>
    <s v="福岡県"/>
    <x v="0"/>
    <x v="6"/>
    <n v="29081"/>
    <n v="25.04"/>
    <n v="12465"/>
    <n v="22.33"/>
    <n v="16588"/>
    <n v="27.99"/>
    <x v="5"/>
  </r>
  <r>
    <x v="0"/>
    <s v="福岡県"/>
    <x v="0"/>
    <x v="7"/>
    <n v="906"/>
    <n v="0.78"/>
    <n v="129"/>
    <n v="0.23"/>
    <n v="774"/>
    <n v="1.31"/>
    <x v="3"/>
  </r>
  <r>
    <x v="0"/>
    <s v="福岡県"/>
    <x v="0"/>
    <x v="8"/>
    <n v="11214"/>
    <n v="9.65"/>
    <n v="3403"/>
    <n v="6.1"/>
    <n v="7784"/>
    <n v="13.14"/>
    <x v="6"/>
  </r>
  <r>
    <x v="0"/>
    <s v="福岡県"/>
    <x v="0"/>
    <x v="9"/>
    <n v="7082"/>
    <n v="6.1"/>
    <n v="3257"/>
    <n v="5.84"/>
    <n v="3794"/>
    <n v="6.4"/>
    <x v="6"/>
  </r>
  <r>
    <x v="0"/>
    <s v="福岡県"/>
    <x v="0"/>
    <x v="10"/>
    <n v="13793"/>
    <n v="11.87"/>
    <n v="11310"/>
    <n v="20.260000000000002"/>
    <n v="2463"/>
    <n v="4.16"/>
    <x v="3"/>
  </r>
  <r>
    <x v="0"/>
    <s v="福岡県"/>
    <x v="0"/>
    <x v="11"/>
    <n v="13817"/>
    <n v="11.89"/>
    <n v="10364"/>
    <n v="18.57"/>
    <n v="3404"/>
    <n v="5.74"/>
    <x v="7"/>
  </r>
  <r>
    <x v="0"/>
    <s v="福岡県"/>
    <x v="0"/>
    <x v="12"/>
    <n v="3802"/>
    <n v="3.27"/>
    <n v="2400"/>
    <n v="4.3"/>
    <n v="1035"/>
    <n v="1.75"/>
    <x v="8"/>
  </r>
  <r>
    <x v="0"/>
    <s v="福岡県"/>
    <x v="0"/>
    <x v="13"/>
    <n v="5901"/>
    <n v="5.08"/>
    <n v="3496"/>
    <n v="6.26"/>
    <n v="2213"/>
    <n v="3.73"/>
    <x v="7"/>
  </r>
  <r>
    <x v="0"/>
    <s v="福岡県"/>
    <x v="0"/>
    <x v="14"/>
    <n v="4753"/>
    <n v="4.09"/>
    <n v="1690"/>
    <n v="3.03"/>
    <n v="2766"/>
    <n v="4.67"/>
    <x v="9"/>
  </r>
  <r>
    <x v="0"/>
    <s v="北九州市"/>
    <x v="1"/>
    <x v="0"/>
    <n v="3"/>
    <n v="0.01"/>
    <n v="0"/>
    <n v="0"/>
    <n v="3"/>
    <n v="0.03"/>
    <x v="0"/>
  </r>
  <r>
    <x v="0"/>
    <s v="北九州市"/>
    <x v="1"/>
    <x v="1"/>
    <n v="3074"/>
    <n v="13.67"/>
    <n v="592"/>
    <n v="5.33"/>
    <n v="2482"/>
    <n v="22.2"/>
    <x v="0"/>
  </r>
  <r>
    <x v="0"/>
    <s v="北九州市"/>
    <x v="1"/>
    <x v="2"/>
    <n v="1143"/>
    <n v="5.08"/>
    <n v="328"/>
    <n v="2.95"/>
    <n v="815"/>
    <n v="7.29"/>
    <x v="0"/>
  </r>
  <r>
    <x v="0"/>
    <s v="北九州市"/>
    <x v="1"/>
    <x v="3"/>
    <n v="32"/>
    <n v="0.14000000000000001"/>
    <n v="0"/>
    <n v="0"/>
    <n v="32"/>
    <n v="0.28999999999999998"/>
    <x v="0"/>
  </r>
  <r>
    <x v="0"/>
    <s v="北九州市"/>
    <x v="1"/>
    <x v="4"/>
    <n v="175"/>
    <n v="0.78"/>
    <n v="18"/>
    <n v="0.16"/>
    <n v="157"/>
    <n v="1.4"/>
    <x v="0"/>
  </r>
  <r>
    <x v="0"/>
    <s v="北九州市"/>
    <x v="1"/>
    <x v="5"/>
    <n v="329"/>
    <n v="1.46"/>
    <n v="86"/>
    <n v="0.77"/>
    <n v="238"/>
    <n v="2.13"/>
    <x v="10"/>
  </r>
  <r>
    <x v="0"/>
    <s v="北九州市"/>
    <x v="1"/>
    <x v="6"/>
    <n v="5482"/>
    <n v="24.38"/>
    <n v="2494"/>
    <n v="22.46"/>
    <n v="2983"/>
    <n v="26.68"/>
    <x v="11"/>
  </r>
  <r>
    <x v="0"/>
    <s v="北九州市"/>
    <x v="1"/>
    <x v="7"/>
    <n v="208"/>
    <n v="0.92"/>
    <n v="24"/>
    <n v="0.22"/>
    <n v="184"/>
    <n v="1.65"/>
    <x v="0"/>
  </r>
  <r>
    <x v="0"/>
    <s v="北九州市"/>
    <x v="1"/>
    <x v="8"/>
    <n v="2574"/>
    <n v="11.45"/>
    <n v="1121"/>
    <n v="10.1"/>
    <n v="1451"/>
    <n v="12.98"/>
    <x v="10"/>
  </r>
  <r>
    <x v="0"/>
    <s v="北九州市"/>
    <x v="1"/>
    <x v="9"/>
    <n v="1145"/>
    <n v="5.09"/>
    <n v="550"/>
    <n v="4.95"/>
    <n v="592"/>
    <n v="5.3"/>
    <x v="1"/>
  </r>
  <r>
    <x v="0"/>
    <s v="北九州市"/>
    <x v="1"/>
    <x v="10"/>
    <n v="2846"/>
    <n v="12.66"/>
    <n v="2375"/>
    <n v="21.39"/>
    <n v="469"/>
    <n v="4.1900000000000004"/>
    <x v="1"/>
  </r>
  <r>
    <x v="0"/>
    <s v="北九州市"/>
    <x v="1"/>
    <x v="11"/>
    <n v="2744"/>
    <n v="12.2"/>
    <n v="2097"/>
    <n v="18.89"/>
    <n v="644"/>
    <n v="5.76"/>
    <x v="10"/>
  </r>
  <r>
    <x v="0"/>
    <s v="北九州市"/>
    <x v="1"/>
    <x v="12"/>
    <n v="678"/>
    <n v="3.01"/>
    <n v="471"/>
    <n v="4.24"/>
    <n v="186"/>
    <n v="1.66"/>
    <x v="12"/>
  </r>
  <r>
    <x v="0"/>
    <s v="北九州市"/>
    <x v="1"/>
    <x v="13"/>
    <n v="1160"/>
    <n v="5.16"/>
    <n v="709"/>
    <n v="6.39"/>
    <n v="438"/>
    <n v="3.92"/>
    <x v="1"/>
  </r>
  <r>
    <x v="0"/>
    <s v="北九州市"/>
    <x v="1"/>
    <x v="14"/>
    <n v="895"/>
    <n v="3.98"/>
    <n v="238"/>
    <n v="2.14"/>
    <n v="506"/>
    <n v="4.53"/>
    <x v="4"/>
  </r>
  <r>
    <x v="0"/>
    <s v="北九州市門司区"/>
    <x v="2"/>
    <x v="0"/>
    <n v="0"/>
    <n v="0"/>
    <n v="0"/>
    <n v="0"/>
    <n v="0"/>
    <n v="0"/>
    <x v="0"/>
  </r>
  <r>
    <x v="0"/>
    <s v="北九州市門司区"/>
    <x v="2"/>
    <x v="1"/>
    <n v="267"/>
    <n v="11.72"/>
    <n v="53"/>
    <n v="4.37"/>
    <n v="214"/>
    <n v="20.74"/>
    <x v="0"/>
  </r>
  <r>
    <x v="0"/>
    <s v="北九州市門司区"/>
    <x v="2"/>
    <x v="2"/>
    <n v="134"/>
    <n v="5.88"/>
    <n v="39"/>
    <n v="3.21"/>
    <n v="95"/>
    <n v="9.2100000000000009"/>
    <x v="0"/>
  </r>
  <r>
    <x v="0"/>
    <s v="北九州市門司区"/>
    <x v="2"/>
    <x v="3"/>
    <n v="4"/>
    <n v="0.18"/>
    <n v="0"/>
    <n v="0"/>
    <n v="4"/>
    <n v="0.39"/>
    <x v="0"/>
  </r>
  <r>
    <x v="0"/>
    <s v="北九州市門司区"/>
    <x v="2"/>
    <x v="4"/>
    <n v="11"/>
    <n v="0.48"/>
    <n v="1"/>
    <n v="0.08"/>
    <n v="10"/>
    <n v="0.97"/>
    <x v="0"/>
  </r>
  <r>
    <x v="0"/>
    <s v="北九州市門司区"/>
    <x v="2"/>
    <x v="5"/>
    <n v="85"/>
    <n v="3.73"/>
    <n v="10"/>
    <n v="0.82"/>
    <n v="74"/>
    <n v="7.17"/>
    <x v="1"/>
  </r>
  <r>
    <x v="0"/>
    <s v="北九州市門司区"/>
    <x v="2"/>
    <x v="6"/>
    <n v="604"/>
    <n v="26.5"/>
    <n v="318"/>
    <n v="26.19"/>
    <n v="286"/>
    <n v="27.71"/>
    <x v="0"/>
  </r>
  <r>
    <x v="0"/>
    <s v="北九州市門司区"/>
    <x v="2"/>
    <x v="7"/>
    <n v="19"/>
    <n v="0.83"/>
    <n v="1"/>
    <n v="0.08"/>
    <n v="18"/>
    <n v="1.74"/>
    <x v="0"/>
  </r>
  <r>
    <x v="0"/>
    <s v="北九州市門司区"/>
    <x v="2"/>
    <x v="8"/>
    <n v="239"/>
    <n v="10.49"/>
    <n v="142"/>
    <n v="11.7"/>
    <n v="97"/>
    <n v="9.4"/>
    <x v="0"/>
  </r>
  <r>
    <x v="0"/>
    <s v="北九州市門司区"/>
    <x v="2"/>
    <x v="9"/>
    <n v="79"/>
    <n v="3.47"/>
    <n v="35"/>
    <n v="2.88"/>
    <n v="43"/>
    <n v="4.17"/>
    <x v="0"/>
  </r>
  <r>
    <x v="0"/>
    <s v="北九州市門司区"/>
    <x v="2"/>
    <x v="10"/>
    <n v="341"/>
    <n v="14.96"/>
    <n v="296"/>
    <n v="24.38"/>
    <n v="45"/>
    <n v="4.3600000000000003"/>
    <x v="0"/>
  </r>
  <r>
    <x v="0"/>
    <s v="北九州市門司区"/>
    <x v="2"/>
    <x v="11"/>
    <n v="256"/>
    <n v="11.23"/>
    <n v="202"/>
    <n v="16.64"/>
    <n v="53"/>
    <n v="5.14"/>
    <x v="0"/>
  </r>
  <r>
    <x v="0"/>
    <s v="北九州市門司区"/>
    <x v="2"/>
    <x v="12"/>
    <n v="67"/>
    <n v="2.94"/>
    <n v="45"/>
    <n v="3.71"/>
    <n v="14"/>
    <n v="1.36"/>
    <x v="13"/>
  </r>
  <r>
    <x v="0"/>
    <s v="北九州市門司区"/>
    <x v="2"/>
    <x v="13"/>
    <n v="97"/>
    <n v="4.26"/>
    <n v="59"/>
    <n v="4.8600000000000003"/>
    <n v="35"/>
    <n v="3.39"/>
    <x v="0"/>
  </r>
  <r>
    <x v="0"/>
    <s v="北九州市門司区"/>
    <x v="2"/>
    <x v="14"/>
    <n v="76"/>
    <n v="3.33"/>
    <n v="13"/>
    <n v="1.07"/>
    <n v="44"/>
    <n v="4.26"/>
    <x v="0"/>
  </r>
  <r>
    <x v="0"/>
    <s v="北九州市若松区"/>
    <x v="3"/>
    <x v="0"/>
    <n v="0"/>
    <n v="0"/>
    <n v="0"/>
    <n v="0"/>
    <n v="0"/>
    <n v="0"/>
    <x v="0"/>
  </r>
  <r>
    <x v="0"/>
    <s v="北九州市若松区"/>
    <x v="3"/>
    <x v="1"/>
    <n v="246"/>
    <n v="13.38"/>
    <n v="55"/>
    <n v="6.08"/>
    <n v="191"/>
    <n v="20.85"/>
    <x v="0"/>
  </r>
  <r>
    <x v="0"/>
    <s v="北九州市若松区"/>
    <x v="3"/>
    <x v="2"/>
    <n v="182"/>
    <n v="9.9"/>
    <n v="45"/>
    <n v="4.9800000000000004"/>
    <n v="137"/>
    <n v="14.96"/>
    <x v="0"/>
  </r>
  <r>
    <x v="0"/>
    <s v="北九州市若松区"/>
    <x v="3"/>
    <x v="3"/>
    <n v="8"/>
    <n v="0.44"/>
    <n v="0"/>
    <n v="0"/>
    <n v="8"/>
    <n v="0.87"/>
    <x v="0"/>
  </r>
  <r>
    <x v="0"/>
    <s v="北九州市若松区"/>
    <x v="3"/>
    <x v="4"/>
    <n v="7"/>
    <n v="0.38"/>
    <n v="0"/>
    <n v="0"/>
    <n v="7"/>
    <n v="0.76"/>
    <x v="0"/>
  </r>
  <r>
    <x v="0"/>
    <s v="北九州市若松区"/>
    <x v="3"/>
    <x v="5"/>
    <n v="51"/>
    <n v="2.77"/>
    <n v="10"/>
    <n v="1.1100000000000001"/>
    <n v="39"/>
    <n v="4.26"/>
    <x v="1"/>
  </r>
  <r>
    <x v="0"/>
    <s v="北九州市若松区"/>
    <x v="3"/>
    <x v="6"/>
    <n v="426"/>
    <n v="23.16"/>
    <n v="210"/>
    <n v="23.23"/>
    <n v="216"/>
    <n v="23.58"/>
    <x v="0"/>
  </r>
  <r>
    <x v="0"/>
    <s v="北九州市若松区"/>
    <x v="3"/>
    <x v="7"/>
    <n v="7"/>
    <n v="0.38"/>
    <n v="2"/>
    <n v="0.22"/>
    <n v="5"/>
    <n v="0.55000000000000004"/>
    <x v="0"/>
  </r>
  <r>
    <x v="0"/>
    <s v="北九州市若松区"/>
    <x v="3"/>
    <x v="8"/>
    <n v="175"/>
    <n v="9.52"/>
    <n v="78"/>
    <n v="8.6300000000000008"/>
    <n v="97"/>
    <n v="10.59"/>
    <x v="0"/>
  </r>
  <r>
    <x v="0"/>
    <s v="北九州市若松区"/>
    <x v="3"/>
    <x v="9"/>
    <n v="100"/>
    <n v="5.44"/>
    <n v="45"/>
    <n v="4.9800000000000004"/>
    <n v="55"/>
    <n v="6"/>
    <x v="0"/>
  </r>
  <r>
    <x v="0"/>
    <s v="北九州市若松区"/>
    <x v="3"/>
    <x v="10"/>
    <n v="174"/>
    <n v="9.4600000000000009"/>
    <n v="145"/>
    <n v="16.04"/>
    <n v="28"/>
    <n v="3.06"/>
    <x v="1"/>
  </r>
  <r>
    <x v="0"/>
    <s v="北九州市若松区"/>
    <x v="3"/>
    <x v="11"/>
    <n v="240"/>
    <n v="13.05"/>
    <n v="192"/>
    <n v="21.24"/>
    <n v="48"/>
    <n v="5.24"/>
    <x v="0"/>
  </r>
  <r>
    <x v="0"/>
    <s v="北九州市若松区"/>
    <x v="3"/>
    <x v="12"/>
    <n v="68"/>
    <n v="3.7"/>
    <n v="47"/>
    <n v="5.2"/>
    <n v="18"/>
    <n v="1.97"/>
    <x v="3"/>
  </r>
  <r>
    <x v="0"/>
    <s v="北九州市若松区"/>
    <x v="3"/>
    <x v="13"/>
    <n v="92"/>
    <n v="5"/>
    <n v="61"/>
    <n v="6.75"/>
    <n v="29"/>
    <n v="3.17"/>
    <x v="0"/>
  </r>
  <r>
    <x v="0"/>
    <s v="北九州市若松区"/>
    <x v="3"/>
    <x v="14"/>
    <n v="63"/>
    <n v="3.43"/>
    <n v="14"/>
    <n v="1.55"/>
    <n v="38"/>
    <n v="4.1500000000000004"/>
    <x v="0"/>
  </r>
  <r>
    <x v="0"/>
    <s v="北九州市戸畑区"/>
    <x v="4"/>
    <x v="0"/>
    <n v="0"/>
    <n v="0"/>
    <n v="0"/>
    <n v="0"/>
    <n v="0"/>
    <n v="0"/>
    <x v="0"/>
  </r>
  <r>
    <x v="0"/>
    <s v="北九州市戸畑区"/>
    <x v="4"/>
    <x v="1"/>
    <n v="180"/>
    <n v="11.86"/>
    <n v="45"/>
    <n v="5.37"/>
    <n v="135"/>
    <n v="20.3"/>
    <x v="0"/>
  </r>
  <r>
    <x v="0"/>
    <s v="北九州市戸畑区"/>
    <x v="4"/>
    <x v="2"/>
    <n v="78"/>
    <n v="5.14"/>
    <n v="24"/>
    <n v="2.86"/>
    <n v="54"/>
    <n v="8.1199999999999992"/>
    <x v="0"/>
  </r>
  <r>
    <x v="0"/>
    <s v="北九州市戸畑区"/>
    <x v="4"/>
    <x v="3"/>
    <n v="3"/>
    <n v="0.2"/>
    <n v="0"/>
    <n v="0"/>
    <n v="3"/>
    <n v="0.45"/>
    <x v="0"/>
  </r>
  <r>
    <x v="0"/>
    <s v="北九州市戸畑区"/>
    <x v="4"/>
    <x v="4"/>
    <n v="14"/>
    <n v="0.92"/>
    <n v="0"/>
    <n v="0"/>
    <n v="14"/>
    <n v="2.11"/>
    <x v="0"/>
  </r>
  <r>
    <x v="0"/>
    <s v="北九州市戸畑区"/>
    <x v="4"/>
    <x v="5"/>
    <n v="13"/>
    <n v="0.86"/>
    <n v="1"/>
    <n v="0.12"/>
    <n v="12"/>
    <n v="1.8"/>
    <x v="0"/>
  </r>
  <r>
    <x v="0"/>
    <s v="北九州市戸畑区"/>
    <x v="4"/>
    <x v="6"/>
    <n v="390"/>
    <n v="25.69"/>
    <n v="202"/>
    <n v="24.11"/>
    <n v="188"/>
    <n v="28.27"/>
    <x v="0"/>
  </r>
  <r>
    <x v="0"/>
    <s v="北九州市戸畑区"/>
    <x v="4"/>
    <x v="7"/>
    <n v="13"/>
    <n v="0.86"/>
    <n v="2"/>
    <n v="0.24"/>
    <n v="11"/>
    <n v="1.65"/>
    <x v="0"/>
  </r>
  <r>
    <x v="0"/>
    <s v="北九州市戸畑区"/>
    <x v="4"/>
    <x v="8"/>
    <n v="242"/>
    <n v="15.94"/>
    <n v="154"/>
    <n v="18.38"/>
    <n v="88"/>
    <n v="13.23"/>
    <x v="0"/>
  </r>
  <r>
    <x v="0"/>
    <s v="北九州市戸畑区"/>
    <x v="4"/>
    <x v="9"/>
    <n v="53"/>
    <n v="3.49"/>
    <n v="28"/>
    <n v="3.34"/>
    <n v="25"/>
    <n v="3.76"/>
    <x v="0"/>
  </r>
  <r>
    <x v="0"/>
    <s v="北九州市戸畑区"/>
    <x v="4"/>
    <x v="10"/>
    <n v="181"/>
    <n v="11.92"/>
    <n v="149"/>
    <n v="17.78"/>
    <n v="32"/>
    <n v="4.8099999999999996"/>
    <x v="0"/>
  </r>
  <r>
    <x v="0"/>
    <s v="北九州市戸畑区"/>
    <x v="4"/>
    <x v="11"/>
    <n v="162"/>
    <n v="10.67"/>
    <n v="131"/>
    <n v="15.63"/>
    <n v="31"/>
    <n v="4.66"/>
    <x v="0"/>
  </r>
  <r>
    <x v="0"/>
    <s v="北九州市戸畑区"/>
    <x v="4"/>
    <x v="12"/>
    <n v="44"/>
    <n v="2.9"/>
    <n v="34"/>
    <n v="4.0599999999999996"/>
    <n v="10"/>
    <n v="1.5"/>
    <x v="0"/>
  </r>
  <r>
    <x v="0"/>
    <s v="北九州市戸畑区"/>
    <x v="4"/>
    <x v="13"/>
    <n v="80"/>
    <n v="5.27"/>
    <n v="47"/>
    <n v="5.61"/>
    <n v="32"/>
    <n v="4.8099999999999996"/>
    <x v="0"/>
  </r>
  <r>
    <x v="0"/>
    <s v="北九州市戸畑区"/>
    <x v="4"/>
    <x v="14"/>
    <n v="65"/>
    <n v="4.28"/>
    <n v="21"/>
    <n v="2.5099999999999998"/>
    <n v="30"/>
    <n v="4.51"/>
    <x v="1"/>
  </r>
  <r>
    <x v="0"/>
    <s v="北九州市小倉北区"/>
    <x v="5"/>
    <x v="0"/>
    <n v="1"/>
    <n v="0.02"/>
    <n v="0"/>
    <n v="0"/>
    <n v="1"/>
    <n v="0.03"/>
    <x v="0"/>
  </r>
  <r>
    <x v="0"/>
    <s v="北九州市小倉北区"/>
    <x v="5"/>
    <x v="1"/>
    <n v="569"/>
    <n v="9.23"/>
    <n v="68"/>
    <n v="2.4"/>
    <n v="501"/>
    <n v="15.2"/>
    <x v="0"/>
  </r>
  <r>
    <x v="0"/>
    <s v="北九州市小倉北区"/>
    <x v="5"/>
    <x v="2"/>
    <n v="239"/>
    <n v="3.88"/>
    <n v="61"/>
    <n v="2.15"/>
    <n v="178"/>
    <n v="5.4"/>
    <x v="0"/>
  </r>
  <r>
    <x v="0"/>
    <s v="北九州市小倉北区"/>
    <x v="5"/>
    <x v="3"/>
    <n v="6"/>
    <n v="0.1"/>
    <n v="0"/>
    <n v="0"/>
    <n v="6"/>
    <n v="0.18"/>
    <x v="0"/>
  </r>
  <r>
    <x v="0"/>
    <s v="北九州市小倉北区"/>
    <x v="5"/>
    <x v="4"/>
    <n v="66"/>
    <n v="1.07"/>
    <n v="8"/>
    <n v="0.28000000000000003"/>
    <n v="58"/>
    <n v="1.76"/>
    <x v="0"/>
  </r>
  <r>
    <x v="0"/>
    <s v="北九州市小倉北区"/>
    <x v="5"/>
    <x v="5"/>
    <n v="72"/>
    <n v="1.17"/>
    <n v="14"/>
    <n v="0.49"/>
    <n v="56"/>
    <n v="1.7"/>
    <x v="0"/>
  </r>
  <r>
    <x v="0"/>
    <s v="北九州市小倉北区"/>
    <x v="5"/>
    <x v="6"/>
    <n v="1628"/>
    <n v="26.4"/>
    <n v="606"/>
    <n v="21.41"/>
    <n v="1018"/>
    <n v="30.89"/>
    <x v="14"/>
  </r>
  <r>
    <x v="0"/>
    <s v="北九州市小倉北区"/>
    <x v="5"/>
    <x v="7"/>
    <n v="89"/>
    <n v="1.44"/>
    <n v="5"/>
    <n v="0.18"/>
    <n v="84"/>
    <n v="2.5499999999999998"/>
    <x v="0"/>
  </r>
  <r>
    <x v="0"/>
    <s v="北九州市小倉北区"/>
    <x v="5"/>
    <x v="8"/>
    <n v="738"/>
    <n v="11.97"/>
    <n v="255"/>
    <n v="9.01"/>
    <n v="482"/>
    <n v="14.62"/>
    <x v="1"/>
  </r>
  <r>
    <x v="0"/>
    <s v="北九州市小倉北区"/>
    <x v="5"/>
    <x v="9"/>
    <n v="383"/>
    <n v="6.21"/>
    <n v="182"/>
    <n v="6.43"/>
    <n v="201"/>
    <n v="6.1"/>
    <x v="0"/>
  </r>
  <r>
    <x v="0"/>
    <s v="北九州市小倉北区"/>
    <x v="5"/>
    <x v="10"/>
    <n v="1013"/>
    <n v="16.43"/>
    <n v="837"/>
    <n v="29.57"/>
    <n v="176"/>
    <n v="5.34"/>
    <x v="0"/>
  </r>
  <r>
    <x v="0"/>
    <s v="北九州市小倉北区"/>
    <x v="5"/>
    <x v="11"/>
    <n v="699"/>
    <n v="11.34"/>
    <n v="486"/>
    <n v="17.170000000000002"/>
    <n v="212"/>
    <n v="6.43"/>
    <x v="1"/>
  </r>
  <r>
    <x v="0"/>
    <s v="北九州市小倉北区"/>
    <x v="5"/>
    <x v="12"/>
    <n v="148"/>
    <n v="2.4"/>
    <n v="89"/>
    <n v="3.14"/>
    <n v="56"/>
    <n v="1.7"/>
    <x v="1"/>
  </r>
  <r>
    <x v="0"/>
    <s v="北九州市小倉北区"/>
    <x v="5"/>
    <x v="13"/>
    <n v="267"/>
    <n v="4.33"/>
    <n v="180"/>
    <n v="6.36"/>
    <n v="87"/>
    <n v="2.64"/>
    <x v="0"/>
  </r>
  <r>
    <x v="0"/>
    <s v="北九州市小倉北区"/>
    <x v="5"/>
    <x v="14"/>
    <n v="248"/>
    <n v="4.0199999999999996"/>
    <n v="40"/>
    <n v="1.41"/>
    <n v="180"/>
    <n v="5.46"/>
    <x v="15"/>
  </r>
  <r>
    <x v="0"/>
    <s v="北九州市小倉南区"/>
    <x v="6"/>
    <x v="0"/>
    <n v="2"/>
    <n v="0.06"/>
    <n v="0"/>
    <n v="0"/>
    <n v="2"/>
    <n v="0.1"/>
    <x v="0"/>
  </r>
  <r>
    <x v="0"/>
    <s v="北九州市小倉南区"/>
    <x v="6"/>
    <x v="1"/>
    <n v="739"/>
    <n v="20.45"/>
    <n v="148"/>
    <n v="9.23"/>
    <n v="591"/>
    <n v="29.89"/>
    <x v="0"/>
  </r>
  <r>
    <x v="0"/>
    <s v="北九州市小倉南区"/>
    <x v="6"/>
    <x v="2"/>
    <n v="148"/>
    <n v="4.0999999999999996"/>
    <n v="37"/>
    <n v="2.31"/>
    <n v="111"/>
    <n v="5.61"/>
    <x v="0"/>
  </r>
  <r>
    <x v="0"/>
    <s v="北九州市小倉南区"/>
    <x v="6"/>
    <x v="3"/>
    <n v="4"/>
    <n v="0.11"/>
    <n v="0"/>
    <n v="0"/>
    <n v="4"/>
    <n v="0.2"/>
    <x v="0"/>
  </r>
  <r>
    <x v="0"/>
    <s v="北九州市小倉南区"/>
    <x v="6"/>
    <x v="4"/>
    <n v="21"/>
    <n v="0.57999999999999996"/>
    <n v="5"/>
    <n v="0.31"/>
    <n v="16"/>
    <n v="0.81"/>
    <x v="0"/>
  </r>
  <r>
    <x v="0"/>
    <s v="北九州市小倉南区"/>
    <x v="6"/>
    <x v="5"/>
    <n v="56"/>
    <n v="1.55"/>
    <n v="31"/>
    <n v="1.93"/>
    <n v="25"/>
    <n v="1.26"/>
    <x v="0"/>
  </r>
  <r>
    <x v="0"/>
    <s v="北九州市小倉南区"/>
    <x v="6"/>
    <x v="6"/>
    <n v="831"/>
    <n v="22.99"/>
    <n v="323"/>
    <n v="20.149999999999999"/>
    <n v="507"/>
    <n v="25.64"/>
    <x v="1"/>
  </r>
  <r>
    <x v="0"/>
    <s v="北九州市小倉南区"/>
    <x v="6"/>
    <x v="7"/>
    <n v="28"/>
    <n v="0.77"/>
    <n v="4"/>
    <n v="0.25"/>
    <n v="24"/>
    <n v="1.21"/>
    <x v="0"/>
  </r>
  <r>
    <x v="0"/>
    <s v="北九州市小倉南区"/>
    <x v="6"/>
    <x v="8"/>
    <n v="406"/>
    <n v="11.23"/>
    <n v="178"/>
    <n v="11.1"/>
    <n v="228"/>
    <n v="11.53"/>
    <x v="0"/>
  </r>
  <r>
    <x v="0"/>
    <s v="北九州市小倉南区"/>
    <x v="6"/>
    <x v="9"/>
    <n v="156"/>
    <n v="4.32"/>
    <n v="80"/>
    <n v="4.99"/>
    <n v="76"/>
    <n v="3.84"/>
    <x v="0"/>
  </r>
  <r>
    <x v="0"/>
    <s v="北九州市小倉南区"/>
    <x v="6"/>
    <x v="10"/>
    <n v="251"/>
    <n v="6.95"/>
    <n v="190"/>
    <n v="11.85"/>
    <n v="61"/>
    <n v="3.09"/>
    <x v="0"/>
  </r>
  <r>
    <x v="0"/>
    <s v="北九州市小倉南区"/>
    <x v="6"/>
    <x v="11"/>
    <n v="451"/>
    <n v="12.48"/>
    <n v="329"/>
    <n v="20.52"/>
    <n v="122"/>
    <n v="6.17"/>
    <x v="0"/>
  </r>
  <r>
    <x v="0"/>
    <s v="北九州市小倉南区"/>
    <x v="6"/>
    <x v="12"/>
    <n v="139"/>
    <n v="3.85"/>
    <n v="95"/>
    <n v="5.93"/>
    <n v="41"/>
    <n v="2.0699999999999998"/>
    <x v="3"/>
  </r>
  <r>
    <x v="0"/>
    <s v="北九州市小倉南区"/>
    <x v="6"/>
    <x v="13"/>
    <n v="221"/>
    <n v="6.12"/>
    <n v="130"/>
    <n v="8.11"/>
    <n v="88"/>
    <n v="4.45"/>
    <x v="1"/>
  </r>
  <r>
    <x v="0"/>
    <s v="北九州市小倉南区"/>
    <x v="6"/>
    <x v="14"/>
    <n v="161"/>
    <n v="4.45"/>
    <n v="53"/>
    <n v="3.31"/>
    <n v="81"/>
    <n v="4.0999999999999996"/>
    <x v="1"/>
  </r>
  <r>
    <x v="0"/>
    <s v="北九州市八幡東区"/>
    <x v="7"/>
    <x v="0"/>
    <n v="0"/>
    <n v="0"/>
    <n v="0"/>
    <n v="0"/>
    <n v="0"/>
    <n v="0"/>
    <x v="0"/>
  </r>
  <r>
    <x v="0"/>
    <s v="北九州市八幡東区"/>
    <x v="7"/>
    <x v="1"/>
    <n v="220"/>
    <n v="12.98"/>
    <n v="45"/>
    <n v="4.75"/>
    <n v="175"/>
    <n v="23.94"/>
    <x v="0"/>
  </r>
  <r>
    <x v="0"/>
    <s v="北九州市八幡東区"/>
    <x v="7"/>
    <x v="2"/>
    <n v="81"/>
    <n v="4.78"/>
    <n v="29"/>
    <n v="3.06"/>
    <n v="52"/>
    <n v="7.11"/>
    <x v="0"/>
  </r>
  <r>
    <x v="0"/>
    <s v="北九州市八幡東区"/>
    <x v="7"/>
    <x v="3"/>
    <n v="1"/>
    <n v="0.06"/>
    <n v="0"/>
    <n v="0"/>
    <n v="1"/>
    <n v="0.14000000000000001"/>
    <x v="0"/>
  </r>
  <r>
    <x v="0"/>
    <s v="北九州市八幡東区"/>
    <x v="7"/>
    <x v="4"/>
    <n v="9"/>
    <n v="0.53"/>
    <n v="0"/>
    <n v="0"/>
    <n v="9"/>
    <n v="1.23"/>
    <x v="0"/>
  </r>
  <r>
    <x v="0"/>
    <s v="北九州市八幡東区"/>
    <x v="7"/>
    <x v="5"/>
    <n v="13"/>
    <n v="0.77"/>
    <n v="4"/>
    <n v="0.42"/>
    <n v="9"/>
    <n v="1.23"/>
    <x v="0"/>
  </r>
  <r>
    <x v="0"/>
    <s v="北九州市八幡東区"/>
    <x v="7"/>
    <x v="6"/>
    <n v="422"/>
    <n v="24.9"/>
    <n v="231"/>
    <n v="24.39"/>
    <n v="191"/>
    <n v="26.13"/>
    <x v="0"/>
  </r>
  <r>
    <x v="0"/>
    <s v="北九州市八幡東区"/>
    <x v="7"/>
    <x v="7"/>
    <n v="14"/>
    <n v="0.83"/>
    <n v="2"/>
    <n v="0.21"/>
    <n v="12"/>
    <n v="1.64"/>
    <x v="0"/>
  </r>
  <r>
    <x v="0"/>
    <s v="北九州市八幡東区"/>
    <x v="7"/>
    <x v="8"/>
    <n v="231"/>
    <n v="13.63"/>
    <n v="132"/>
    <n v="13.94"/>
    <n v="98"/>
    <n v="13.41"/>
    <x v="1"/>
  </r>
  <r>
    <x v="0"/>
    <s v="北九州市八幡東区"/>
    <x v="7"/>
    <x v="9"/>
    <n v="84"/>
    <n v="4.96"/>
    <n v="36"/>
    <n v="3.8"/>
    <n v="48"/>
    <n v="6.57"/>
    <x v="0"/>
  </r>
  <r>
    <x v="0"/>
    <s v="北九州市八幡東区"/>
    <x v="7"/>
    <x v="10"/>
    <n v="206"/>
    <n v="12.15"/>
    <n v="183"/>
    <n v="19.32"/>
    <n v="23"/>
    <n v="3.15"/>
    <x v="0"/>
  </r>
  <r>
    <x v="0"/>
    <s v="北九州市八幡東区"/>
    <x v="7"/>
    <x v="11"/>
    <n v="195"/>
    <n v="11.5"/>
    <n v="161"/>
    <n v="17"/>
    <n v="34"/>
    <n v="4.6500000000000004"/>
    <x v="0"/>
  </r>
  <r>
    <x v="0"/>
    <s v="北九州市八幡東区"/>
    <x v="7"/>
    <x v="12"/>
    <n v="59"/>
    <n v="3.48"/>
    <n v="50"/>
    <n v="5.28"/>
    <n v="9"/>
    <n v="1.23"/>
    <x v="0"/>
  </r>
  <r>
    <x v="0"/>
    <s v="北九州市八幡東区"/>
    <x v="7"/>
    <x v="13"/>
    <n v="91"/>
    <n v="5.37"/>
    <n v="52"/>
    <n v="5.49"/>
    <n v="38"/>
    <n v="5.2"/>
    <x v="0"/>
  </r>
  <r>
    <x v="0"/>
    <s v="北九州市八幡東区"/>
    <x v="7"/>
    <x v="14"/>
    <n v="69"/>
    <n v="4.07"/>
    <n v="22"/>
    <n v="2.3199999999999998"/>
    <n v="32"/>
    <n v="4.38"/>
    <x v="0"/>
  </r>
  <r>
    <x v="0"/>
    <s v="北九州市八幡西区"/>
    <x v="8"/>
    <x v="0"/>
    <n v="0"/>
    <n v="0"/>
    <n v="0"/>
    <n v="0"/>
    <n v="0"/>
    <n v="0"/>
    <x v="0"/>
  </r>
  <r>
    <x v="0"/>
    <s v="北九州市八幡西区"/>
    <x v="8"/>
    <x v="1"/>
    <n v="853"/>
    <n v="15.86"/>
    <n v="178"/>
    <n v="6.44"/>
    <n v="675"/>
    <n v="26.34"/>
    <x v="0"/>
  </r>
  <r>
    <x v="0"/>
    <s v="北九州市八幡西区"/>
    <x v="8"/>
    <x v="2"/>
    <n v="281"/>
    <n v="5.23"/>
    <n v="93"/>
    <n v="3.36"/>
    <n v="188"/>
    <n v="7.34"/>
    <x v="0"/>
  </r>
  <r>
    <x v="0"/>
    <s v="北九州市八幡西区"/>
    <x v="8"/>
    <x v="3"/>
    <n v="6"/>
    <n v="0.11"/>
    <n v="0"/>
    <n v="0"/>
    <n v="6"/>
    <n v="0.23"/>
    <x v="0"/>
  </r>
  <r>
    <x v="0"/>
    <s v="北九州市八幡西区"/>
    <x v="8"/>
    <x v="4"/>
    <n v="47"/>
    <n v="0.87"/>
    <n v="4"/>
    <n v="0.14000000000000001"/>
    <n v="43"/>
    <n v="1.68"/>
    <x v="0"/>
  </r>
  <r>
    <x v="0"/>
    <s v="北九州市八幡西区"/>
    <x v="8"/>
    <x v="5"/>
    <n v="39"/>
    <n v="0.73"/>
    <n v="16"/>
    <n v="0.57999999999999996"/>
    <n v="23"/>
    <n v="0.9"/>
    <x v="0"/>
  </r>
  <r>
    <x v="0"/>
    <s v="北九州市八幡西区"/>
    <x v="8"/>
    <x v="6"/>
    <n v="1181"/>
    <n v="21.96"/>
    <n v="604"/>
    <n v="21.84"/>
    <n v="577"/>
    <n v="22.51"/>
    <x v="0"/>
  </r>
  <r>
    <x v="0"/>
    <s v="北九州市八幡西区"/>
    <x v="8"/>
    <x v="7"/>
    <n v="38"/>
    <n v="0.71"/>
    <n v="8"/>
    <n v="0.28999999999999998"/>
    <n v="30"/>
    <n v="1.17"/>
    <x v="0"/>
  </r>
  <r>
    <x v="0"/>
    <s v="北九州市八幡西区"/>
    <x v="8"/>
    <x v="8"/>
    <n v="543"/>
    <n v="10.1"/>
    <n v="182"/>
    <n v="6.58"/>
    <n v="361"/>
    <n v="14.09"/>
    <x v="0"/>
  </r>
  <r>
    <x v="0"/>
    <s v="北九州市八幡西区"/>
    <x v="8"/>
    <x v="9"/>
    <n v="290"/>
    <n v="5.39"/>
    <n v="144"/>
    <n v="5.21"/>
    <n v="144"/>
    <n v="5.62"/>
    <x v="1"/>
  </r>
  <r>
    <x v="0"/>
    <s v="北九州市八幡西区"/>
    <x v="8"/>
    <x v="10"/>
    <n v="680"/>
    <n v="12.65"/>
    <n v="575"/>
    <n v="20.79"/>
    <n v="104"/>
    <n v="4.0599999999999996"/>
    <x v="0"/>
  </r>
  <r>
    <x v="0"/>
    <s v="北九州市八幡西区"/>
    <x v="8"/>
    <x v="11"/>
    <n v="741"/>
    <n v="13.78"/>
    <n v="596"/>
    <n v="21.55"/>
    <n v="144"/>
    <n v="5.62"/>
    <x v="1"/>
  </r>
  <r>
    <x v="0"/>
    <s v="北九州市八幡西区"/>
    <x v="8"/>
    <x v="12"/>
    <n v="153"/>
    <n v="2.85"/>
    <n v="111"/>
    <n v="4.01"/>
    <n v="38"/>
    <n v="1.48"/>
    <x v="10"/>
  </r>
  <r>
    <x v="0"/>
    <s v="北九州市八幡西区"/>
    <x v="8"/>
    <x v="13"/>
    <n v="312"/>
    <n v="5.8"/>
    <n v="180"/>
    <n v="6.51"/>
    <n v="129"/>
    <n v="5.03"/>
    <x v="0"/>
  </r>
  <r>
    <x v="0"/>
    <s v="北九州市八幡西区"/>
    <x v="8"/>
    <x v="14"/>
    <n v="213"/>
    <n v="3.96"/>
    <n v="75"/>
    <n v="2.71"/>
    <n v="101"/>
    <n v="3.94"/>
    <x v="10"/>
  </r>
  <r>
    <x v="0"/>
    <s v="福岡市"/>
    <x v="9"/>
    <x v="0"/>
    <n v="3"/>
    <n v="0.01"/>
    <n v="0"/>
    <n v="0"/>
    <n v="3"/>
    <n v="0.01"/>
    <x v="0"/>
  </r>
  <r>
    <x v="0"/>
    <s v="福岡市"/>
    <x v="9"/>
    <x v="1"/>
    <n v="3986"/>
    <n v="10.16"/>
    <n v="525"/>
    <n v="3.53"/>
    <n v="3460"/>
    <n v="14.39"/>
    <x v="1"/>
  </r>
  <r>
    <x v="0"/>
    <s v="福岡市"/>
    <x v="9"/>
    <x v="2"/>
    <n v="1425"/>
    <n v="3.63"/>
    <n v="365"/>
    <n v="2.4500000000000002"/>
    <n v="1060"/>
    <n v="4.41"/>
    <x v="0"/>
  </r>
  <r>
    <x v="0"/>
    <s v="福岡市"/>
    <x v="9"/>
    <x v="3"/>
    <n v="47"/>
    <n v="0.12"/>
    <n v="0"/>
    <n v="0"/>
    <n v="43"/>
    <n v="0.18"/>
    <x v="0"/>
  </r>
  <r>
    <x v="0"/>
    <s v="福岡市"/>
    <x v="9"/>
    <x v="4"/>
    <n v="986"/>
    <n v="2.5099999999999998"/>
    <n v="50"/>
    <n v="0.34"/>
    <n v="934"/>
    <n v="3.89"/>
    <x v="10"/>
  </r>
  <r>
    <x v="0"/>
    <s v="福岡市"/>
    <x v="9"/>
    <x v="5"/>
    <n v="422"/>
    <n v="1.08"/>
    <n v="65"/>
    <n v="0.44"/>
    <n v="355"/>
    <n v="1.48"/>
    <x v="10"/>
  </r>
  <r>
    <x v="0"/>
    <s v="福岡市"/>
    <x v="9"/>
    <x v="6"/>
    <n v="9685"/>
    <n v="24.68"/>
    <n v="2671"/>
    <n v="17.940000000000001"/>
    <n v="7010"/>
    <n v="29.16"/>
    <x v="14"/>
  </r>
  <r>
    <x v="0"/>
    <s v="福岡市"/>
    <x v="9"/>
    <x v="7"/>
    <n v="352"/>
    <n v="0.9"/>
    <n v="27"/>
    <n v="0.18"/>
    <n v="323"/>
    <n v="1.34"/>
    <x v="10"/>
  </r>
  <r>
    <x v="0"/>
    <s v="福岡市"/>
    <x v="9"/>
    <x v="8"/>
    <n v="4654"/>
    <n v="11.86"/>
    <n v="853"/>
    <n v="5.73"/>
    <n v="3791"/>
    <n v="15.77"/>
    <x v="15"/>
  </r>
  <r>
    <x v="0"/>
    <s v="福岡市"/>
    <x v="9"/>
    <x v="9"/>
    <n v="3526"/>
    <n v="8.99"/>
    <n v="1391"/>
    <n v="9.34"/>
    <n v="2131"/>
    <n v="8.86"/>
    <x v="14"/>
  </r>
  <r>
    <x v="0"/>
    <s v="福岡市"/>
    <x v="9"/>
    <x v="10"/>
    <n v="5156"/>
    <n v="13.14"/>
    <n v="4062"/>
    <n v="27.29"/>
    <n v="1091"/>
    <n v="4.54"/>
    <x v="0"/>
  </r>
  <r>
    <x v="0"/>
    <s v="福岡市"/>
    <x v="9"/>
    <x v="11"/>
    <n v="4206"/>
    <n v="10.72"/>
    <n v="2776"/>
    <n v="18.649999999999999"/>
    <n v="1422"/>
    <n v="5.92"/>
    <x v="11"/>
  </r>
  <r>
    <x v="0"/>
    <s v="福岡市"/>
    <x v="9"/>
    <x v="12"/>
    <n v="1365"/>
    <n v="3.48"/>
    <n v="716"/>
    <n v="4.8099999999999996"/>
    <n v="492"/>
    <n v="2.0499999999999998"/>
    <x v="14"/>
  </r>
  <r>
    <x v="0"/>
    <s v="福岡市"/>
    <x v="9"/>
    <x v="13"/>
    <n v="1919"/>
    <n v="4.8899999999999997"/>
    <n v="1133"/>
    <n v="7.61"/>
    <n v="711"/>
    <n v="2.96"/>
    <x v="3"/>
  </r>
  <r>
    <x v="0"/>
    <s v="福岡市"/>
    <x v="9"/>
    <x v="14"/>
    <n v="1503"/>
    <n v="3.83"/>
    <n v="251"/>
    <n v="1.69"/>
    <n v="1214"/>
    <n v="5.05"/>
    <x v="12"/>
  </r>
  <r>
    <x v="0"/>
    <s v="福岡市東区"/>
    <x v="10"/>
    <x v="0"/>
    <n v="2"/>
    <n v="0.04"/>
    <n v="0"/>
    <n v="0"/>
    <n v="2"/>
    <n v="7.0000000000000007E-2"/>
    <x v="0"/>
  </r>
  <r>
    <x v="0"/>
    <s v="福岡市東区"/>
    <x v="10"/>
    <x v="1"/>
    <n v="530"/>
    <n v="11.33"/>
    <n v="75"/>
    <n v="4.41"/>
    <n v="455"/>
    <n v="15.55"/>
    <x v="0"/>
  </r>
  <r>
    <x v="0"/>
    <s v="福岡市東区"/>
    <x v="10"/>
    <x v="2"/>
    <n v="237"/>
    <n v="5.07"/>
    <n v="43"/>
    <n v="2.5299999999999998"/>
    <n v="194"/>
    <n v="6.63"/>
    <x v="0"/>
  </r>
  <r>
    <x v="0"/>
    <s v="福岡市東区"/>
    <x v="10"/>
    <x v="3"/>
    <n v="4"/>
    <n v="0.09"/>
    <n v="0"/>
    <n v="0"/>
    <n v="3"/>
    <n v="0.1"/>
    <x v="0"/>
  </r>
  <r>
    <x v="0"/>
    <s v="福岡市東区"/>
    <x v="10"/>
    <x v="4"/>
    <n v="58"/>
    <n v="1.24"/>
    <n v="4"/>
    <n v="0.24"/>
    <n v="53"/>
    <n v="1.81"/>
    <x v="1"/>
  </r>
  <r>
    <x v="0"/>
    <s v="福岡市東区"/>
    <x v="10"/>
    <x v="5"/>
    <n v="112"/>
    <n v="2.39"/>
    <n v="4"/>
    <n v="0.24"/>
    <n v="108"/>
    <n v="3.69"/>
    <x v="0"/>
  </r>
  <r>
    <x v="0"/>
    <s v="福岡市東区"/>
    <x v="10"/>
    <x v="6"/>
    <n v="1261"/>
    <n v="26.96"/>
    <n v="382"/>
    <n v="22.47"/>
    <n v="879"/>
    <n v="30.04"/>
    <x v="0"/>
  </r>
  <r>
    <x v="0"/>
    <s v="福岡市東区"/>
    <x v="10"/>
    <x v="7"/>
    <n v="37"/>
    <n v="0.79"/>
    <n v="3"/>
    <n v="0.18"/>
    <n v="34"/>
    <n v="1.1599999999999999"/>
    <x v="0"/>
  </r>
  <r>
    <x v="0"/>
    <s v="福岡市東区"/>
    <x v="10"/>
    <x v="8"/>
    <n v="579"/>
    <n v="12.38"/>
    <n v="106"/>
    <n v="6.24"/>
    <n v="472"/>
    <n v="16.13"/>
    <x v="0"/>
  </r>
  <r>
    <x v="0"/>
    <s v="福岡市東区"/>
    <x v="10"/>
    <x v="9"/>
    <n v="212"/>
    <n v="4.53"/>
    <n v="72"/>
    <n v="4.24"/>
    <n v="140"/>
    <n v="4.78"/>
    <x v="0"/>
  </r>
  <r>
    <x v="0"/>
    <s v="福岡市東区"/>
    <x v="10"/>
    <x v="10"/>
    <n v="472"/>
    <n v="10.09"/>
    <n v="377"/>
    <n v="22.18"/>
    <n v="94"/>
    <n v="3.21"/>
    <x v="0"/>
  </r>
  <r>
    <x v="0"/>
    <s v="福岡市東区"/>
    <x v="10"/>
    <x v="11"/>
    <n v="539"/>
    <n v="11.52"/>
    <n v="363"/>
    <n v="21.35"/>
    <n v="174"/>
    <n v="5.95"/>
    <x v="0"/>
  </r>
  <r>
    <x v="0"/>
    <s v="福岡市東区"/>
    <x v="10"/>
    <x v="12"/>
    <n v="177"/>
    <n v="3.78"/>
    <n v="89"/>
    <n v="5.24"/>
    <n v="58"/>
    <n v="1.98"/>
    <x v="0"/>
  </r>
  <r>
    <x v="0"/>
    <s v="福岡市東区"/>
    <x v="10"/>
    <x v="13"/>
    <n v="270"/>
    <n v="5.77"/>
    <n v="148"/>
    <n v="8.7100000000000009"/>
    <n v="113"/>
    <n v="3.86"/>
    <x v="1"/>
  </r>
  <r>
    <x v="0"/>
    <s v="福岡市東区"/>
    <x v="10"/>
    <x v="14"/>
    <n v="188"/>
    <n v="4.0199999999999996"/>
    <n v="34"/>
    <n v="2"/>
    <n v="147"/>
    <n v="5.0199999999999996"/>
    <x v="1"/>
  </r>
  <r>
    <x v="0"/>
    <s v="福岡市博多区"/>
    <x v="11"/>
    <x v="0"/>
    <n v="0"/>
    <n v="0"/>
    <n v="0"/>
    <n v="0"/>
    <n v="0"/>
    <n v="0"/>
    <x v="0"/>
  </r>
  <r>
    <x v="0"/>
    <s v="福岡市博多区"/>
    <x v="11"/>
    <x v="1"/>
    <n v="926"/>
    <n v="9"/>
    <n v="44"/>
    <n v="1.57"/>
    <n v="882"/>
    <n v="11.91"/>
    <x v="0"/>
  </r>
  <r>
    <x v="0"/>
    <s v="福岡市博多区"/>
    <x v="11"/>
    <x v="2"/>
    <n v="488"/>
    <n v="4.74"/>
    <n v="107"/>
    <n v="3.82"/>
    <n v="381"/>
    <n v="5.14"/>
    <x v="0"/>
  </r>
  <r>
    <x v="0"/>
    <s v="福岡市博多区"/>
    <x v="11"/>
    <x v="3"/>
    <n v="19"/>
    <n v="0.18"/>
    <n v="0"/>
    <n v="0"/>
    <n v="19"/>
    <n v="0.26"/>
    <x v="0"/>
  </r>
  <r>
    <x v="0"/>
    <s v="福岡市博多区"/>
    <x v="11"/>
    <x v="4"/>
    <n v="361"/>
    <n v="3.51"/>
    <n v="6"/>
    <n v="0.21"/>
    <n v="354"/>
    <n v="4.78"/>
    <x v="1"/>
  </r>
  <r>
    <x v="0"/>
    <s v="福岡市博多区"/>
    <x v="11"/>
    <x v="5"/>
    <n v="164"/>
    <n v="1.59"/>
    <n v="7"/>
    <n v="0.25"/>
    <n v="155"/>
    <n v="2.09"/>
    <x v="10"/>
  </r>
  <r>
    <x v="0"/>
    <s v="福岡市博多区"/>
    <x v="11"/>
    <x v="6"/>
    <n v="3076"/>
    <n v="29.9"/>
    <n v="429"/>
    <n v="15.31"/>
    <n v="2645"/>
    <n v="35.71"/>
    <x v="10"/>
  </r>
  <r>
    <x v="0"/>
    <s v="福岡市博多区"/>
    <x v="11"/>
    <x v="7"/>
    <n v="116"/>
    <n v="1.1299999999999999"/>
    <n v="3"/>
    <n v="0.11"/>
    <n v="111"/>
    <n v="1.5"/>
    <x v="10"/>
  </r>
  <r>
    <x v="0"/>
    <s v="福岡市博多区"/>
    <x v="11"/>
    <x v="8"/>
    <n v="1026"/>
    <n v="9.9700000000000006"/>
    <n v="121"/>
    <n v="4.32"/>
    <n v="900"/>
    <n v="12.15"/>
    <x v="10"/>
  </r>
  <r>
    <x v="0"/>
    <s v="福岡市博多区"/>
    <x v="11"/>
    <x v="9"/>
    <n v="878"/>
    <n v="8.5299999999999994"/>
    <n v="238"/>
    <n v="8.49"/>
    <n v="638"/>
    <n v="8.61"/>
    <x v="10"/>
  </r>
  <r>
    <x v="0"/>
    <s v="福岡市博多区"/>
    <x v="11"/>
    <x v="10"/>
    <n v="1484"/>
    <n v="14.42"/>
    <n v="1128"/>
    <n v="40.24"/>
    <n v="355"/>
    <n v="4.79"/>
    <x v="0"/>
  </r>
  <r>
    <x v="0"/>
    <s v="福岡市博多区"/>
    <x v="11"/>
    <x v="11"/>
    <n v="688"/>
    <n v="6.69"/>
    <n v="395"/>
    <n v="14.09"/>
    <n v="290"/>
    <n v="3.92"/>
    <x v="10"/>
  </r>
  <r>
    <x v="0"/>
    <s v="福岡市博多区"/>
    <x v="11"/>
    <x v="12"/>
    <n v="187"/>
    <n v="1.82"/>
    <n v="66"/>
    <n v="2.35"/>
    <n v="95"/>
    <n v="1.28"/>
    <x v="1"/>
  </r>
  <r>
    <x v="0"/>
    <s v="福岡市博多区"/>
    <x v="11"/>
    <x v="13"/>
    <n v="332"/>
    <n v="3.23"/>
    <n v="189"/>
    <n v="6.74"/>
    <n v="129"/>
    <n v="1.74"/>
    <x v="0"/>
  </r>
  <r>
    <x v="0"/>
    <s v="福岡市博多区"/>
    <x v="11"/>
    <x v="14"/>
    <n v="544"/>
    <n v="5.29"/>
    <n v="70"/>
    <n v="2.5"/>
    <n v="453"/>
    <n v="6.12"/>
    <x v="16"/>
  </r>
  <r>
    <x v="0"/>
    <s v="福岡市中央区"/>
    <x v="12"/>
    <x v="0"/>
    <n v="0"/>
    <n v="0"/>
    <n v="0"/>
    <n v="0"/>
    <n v="0"/>
    <n v="0"/>
    <x v="0"/>
  </r>
  <r>
    <x v="0"/>
    <s v="福岡市中央区"/>
    <x v="12"/>
    <x v="1"/>
    <n v="376"/>
    <n v="3.79"/>
    <n v="18"/>
    <n v="0.45"/>
    <n v="358"/>
    <n v="6.04"/>
    <x v="0"/>
  </r>
  <r>
    <x v="0"/>
    <s v="福岡市中央区"/>
    <x v="12"/>
    <x v="2"/>
    <n v="202"/>
    <n v="2.04"/>
    <n v="37"/>
    <n v="0.93"/>
    <n v="165"/>
    <n v="2.79"/>
    <x v="0"/>
  </r>
  <r>
    <x v="0"/>
    <s v="福岡市中央区"/>
    <x v="12"/>
    <x v="3"/>
    <n v="10"/>
    <n v="0.1"/>
    <n v="0"/>
    <n v="0"/>
    <n v="10"/>
    <n v="0.17"/>
    <x v="0"/>
  </r>
  <r>
    <x v="0"/>
    <s v="福岡市中央区"/>
    <x v="12"/>
    <x v="4"/>
    <n v="377"/>
    <n v="3.8"/>
    <n v="25"/>
    <n v="0.63"/>
    <n v="352"/>
    <n v="5.94"/>
    <x v="0"/>
  </r>
  <r>
    <x v="0"/>
    <s v="福岡市中央区"/>
    <x v="12"/>
    <x v="5"/>
    <n v="58"/>
    <n v="0.57999999999999996"/>
    <n v="0"/>
    <n v="0"/>
    <n v="58"/>
    <n v="0.98"/>
    <x v="0"/>
  </r>
  <r>
    <x v="0"/>
    <s v="福岡市中央区"/>
    <x v="12"/>
    <x v="6"/>
    <n v="2254"/>
    <n v="22.73"/>
    <n v="570"/>
    <n v="14.39"/>
    <n v="1683"/>
    <n v="28.41"/>
    <x v="1"/>
  </r>
  <r>
    <x v="0"/>
    <s v="福岡市中央区"/>
    <x v="12"/>
    <x v="7"/>
    <n v="98"/>
    <n v="0.99"/>
    <n v="4"/>
    <n v="0.1"/>
    <n v="94"/>
    <n v="1.59"/>
    <x v="0"/>
  </r>
  <r>
    <x v="0"/>
    <s v="福岡市中央区"/>
    <x v="12"/>
    <x v="8"/>
    <n v="1207"/>
    <n v="12.17"/>
    <n v="164"/>
    <n v="4.1399999999999997"/>
    <n v="1041"/>
    <n v="17.579999999999998"/>
    <x v="10"/>
  </r>
  <r>
    <x v="0"/>
    <s v="福岡市中央区"/>
    <x v="12"/>
    <x v="9"/>
    <n v="1432"/>
    <n v="14.44"/>
    <n v="724"/>
    <n v="18.28"/>
    <n v="707"/>
    <n v="11.94"/>
    <x v="1"/>
  </r>
  <r>
    <x v="0"/>
    <s v="福岡市中央区"/>
    <x v="12"/>
    <x v="10"/>
    <n v="1685"/>
    <n v="16.989999999999998"/>
    <n v="1296"/>
    <n v="32.72"/>
    <n v="389"/>
    <n v="6.57"/>
    <x v="0"/>
  </r>
  <r>
    <x v="0"/>
    <s v="福岡市中央区"/>
    <x v="12"/>
    <x v="11"/>
    <n v="1093"/>
    <n v="11.02"/>
    <n v="647"/>
    <n v="16.329999999999998"/>
    <n v="444"/>
    <n v="7.5"/>
    <x v="10"/>
  </r>
  <r>
    <x v="0"/>
    <s v="福岡市中央区"/>
    <x v="12"/>
    <x v="12"/>
    <n v="357"/>
    <n v="3.6"/>
    <n v="177"/>
    <n v="4.47"/>
    <n v="165"/>
    <n v="2.79"/>
    <x v="1"/>
  </r>
  <r>
    <x v="0"/>
    <s v="福岡市中央区"/>
    <x v="12"/>
    <x v="13"/>
    <n v="410"/>
    <n v="4.13"/>
    <n v="272"/>
    <n v="6.87"/>
    <n v="133"/>
    <n v="2.25"/>
    <x v="1"/>
  </r>
  <r>
    <x v="0"/>
    <s v="福岡市中央区"/>
    <x v="12"/>
    <x v="14"/>
    <n v="358"/>
    <n v="3.61"/>
    <n v="27"/>
    <n v="0.68"/>
    <n v="324"/>
    <n v="5.47"/>
    <x v="11"/>
  </r>
  <r>
    <x v="0"/>
    <s v="福岡市南区"/>
    <x v="13"/>
    <x v="0"/>
    <n v="0"/>
    <n v="0"/>
    <n v="0"/>
    <n v="0"/>
    <n v="0"/>
    <n v="0"/>
    <x v="0"/>
  </r>
  <r>
    <x v="0"/>
    <s v="福岡市南区"/>
    <x v="13"/>
    <x v="1"/>
    <n v="723"/>
    <n v="13.75"/>
    <n v="92"/>
    <n v="4.08"/>
    <n v="631"/>
    <n v="21.34"/>
    <x v="0"/>
  </r>
  <r>
    <x v="0"/>
    <s v="福岡市南区"/>
    <x v="13"/>
    <x v="2"/>
    <n v="227"/>
    <n v="4.32"/>
    <n v="71"/>
    <n v="3.15"/>
    <n v="156"/>
    <n v="5.28"/>
    <x v="0"/>
  </r>
  <r>
    <x v="0"/>
    <s v="福岡市南区"/>
    <x v="13"/>
    <x v="3"/>
    <n v="8"/>
    <n v="0.15"/>
    <n v="0"/>
    <n v="0"/>
    <n v="7"/>
    <n v="0.24"/>
    <x v="0"/>
  </r>
  <r>
    <x v="0"/>
    <s v="福岡市南区"/>
    <x v="13"/>
    <x v="4"/>
    <n v="67"/>
    <n v="1.27"/>
    <n v="8"/>
    <n v="0.35"/>
    <n v="59"/>
    <n v="2"/>
    <x v="0"/>
  </r>
  <r>
    <x v="0"/>
    <s v="福岡市南区"/>
    <x v="13"/>
    <x v="5"/>
    <n v="26"/>
    <n v="0.49"/>
    <n v="13"/>
    <n v="0.57999999999999996"/>
    <n v="13"/>
    <n v="0.44"/>
    <x v="0"/>
  </r>
  <r>
    <x v="0"/>
    <s v="福岡市南区"/>
    <x v="13"/>
    <x v="6"/>
    <n v="1141"/>
    <n v="21.7"/>
    <n v="442"/>
    <n v="19.600000000000001"/>
    <n v="699"/>
    <n v="23.64"/>
    <x v="0"/>
  </r>
  <r>
    <x v="0"/>
    <s v="福岡市南区"/>
    <x v="13"/>
    <x v="7"/>
    <n v="35"/>
    <n v="0.67"/>
    <n v="3"/>
    <n v="0.13"/>
    <n v="32"/>
    <n v="1.08"/>
    <x v="0"/>
  </r>
  <r>
    <x v="0"/>
    <s v="福岡市南区"/>
    <x v="13"/>
    <x v="8"/>
    <n v="776"/>
    <n v="14.76"/>
    <n v="216"/>
    <n v="9.58"/>
    <n v="558"/>
    <n v="18.87"/>
    <x v="10"/>
  </r>
  <r>
    <x v="0"/>
    <s v="福岡市南区"/>
    <x v="13"/>
    <x v="9"/>
    <n v="401"/>
    <n v="7.63"/>
    <n v="139"/>
    <n v="6.16"/>
    <n v="262"/>
    <n v="8.86"/>
    <x v="0"/>
  </r>
  <r>
    <x v="0"/>
    <s v="福岡市南区"/>
    <x v="13"/>
    <x v="10"/>
    <n v="532"/>
    <n v="10.119999999999999"/>
    <n v="442"/>
    <n v="19.600000000000001"/>
    <n v="90"/>
    <n v="3.04"/>
    <x v="0"/>
  </r>
  <r>
    <x v="0"/>
    <s v="福岡市南区"/>
    <x v="13"/>
    <x v="11"/>
    <n v="639"/>
    <n v="12.15"/>
    <n v="467"/>
    <n v="20.71"/>
    <n v="172"/>
    <n v="5.82"/>
    <x v="0"/>
  </r>
  <r>
    <x v="0"/>
    <s v="福岡市南区"/>
    <x v="13"/>
    <x v="12"/>
    <n v="224"/>
    <n v="4.26"/>
    <n v="136"/>
    <n v="6.03"/>
    <n v="62"/>
    <n v="2.1"/>
    <x v="1"/>
  </r>
  <r>
    <x v="0"/>
    <s v="福岡市南区"/>
    <x v="13"/>
    <x v="13"/>
    <n v="313"/>
    <n v="5.95"/>
    <n v="183"/>
    <n v="8.1199999999999992"/>
    <n v="115"/>
    <n v="3.89"/>
    <x v="1"/>
  </r>
  <r>
    <x v="0"/>
    <s v="福岡市南区"/>
    <x v="13"/>
    <x v="14"/>
    <n v="146"/>
    <n v="2.78"/>
    <n v="43"/>
    <n v="1.91"/>
    <n v="101"/>
    <n v="3.42"/>
    <x v="10"/>
  </r>
  <r>
    <x v="0"/>
    <s v="福岡市西区"/>
    <x v="14"/>
    <x v="0"/>
    <n v="0"/>
    <n v="0"/>
    <n v="0"/>
    <n v="0"/>
    <n v="0"/>
    <n v="0"/>
    <x v="0"/>
  </r>
  <r>
    <x v="0"/>
    <s v="福岡市西区"/>
    <x v="14"/>
    <x v="1"/>
    <n v="559"/>
    <n v="18.53"/>
    <n v="98"/>
    <n v="8.06"/>
    <n v="461"/>
    <n v="26.22"/>
    <x v="0"/>
  </r>
  <r>
    <x v="0"/>
    <s v="福岡市西区"/>
    <x v="14"/>
    <x v="2"/>
    <n v="87"/>
    <n v="2.88"/>
    <n v="37"/>
    <n v="3.04"/>
    <n v="50"/>
    <n v="2.84"/>
    <x v="0"/>
  </r>
  <r>
    <x v="0"/>
    <s v="福岡市西区"/>
    <x v="14"/>
    <x v="3"/>
    <n v="3"/>
    <n v="0.1"/>
    <n v="0"/>
    <n v="0"/>
    <n v="1"/>
    <n v="0.06"/>
    <x v="0"/>
  </r>
  <r>
    <x v="0"/>
    <s v="福岡市西区"/>
    <x v="14"/>
    <x v="4"/>
    <n v="34"/>
    <n v="1.1299999999999999"/>
    <n v="1"/>
    <n v="0.08"/>
    <n v="33"/>
    <n v="1.88"/>
    <x v="0"/>
  </r>
  <r>
    <x v="0"/>
    <s v="福岡市西区"/>
    <x v="14"/>
    <x v="5"/>
    <n v="25"/>
    <n v="0.83"/>
    <n v="17"/>
    <n v="1.4"/>
    <n v="8"/>
    <n v="0.46"/>
    <x v="0"/>
  </r>
  <r>
    <x v="0"/>
    <s v="福岡市西区"/>
    <x v="14"/>
    <x v="6"/>
    <n v="713"/>
    <n v="23.64"/>
    <n v="273"/>
    <n v="22.45"/>
    <n v="440"/>
    <n v="25.03"/>
    <x v="0"/>
  </r>
  <r>
    <x v="0"/>
    <s v="福岡市西区"/>
    <x v="14"/>
    <x v="7"/>
    <n v="26"/>
    <n v="0.86"/>
    <n v="4"/>
    <n v="0.33"/>
    <n v="22"/>
    <n v="1.25"/>
    <x v="0"/>
  </r>
  <r>
    <x v="0"/>
    <s v="福岡市西区"/>
    <x v="14"/>
    <x v="8"/>
    <n v="293"/>
    <n v="9.7100000000000009"/>
    <n v="64"/>
    <n v="5.26"/>
    <n v="229"/>
    <n v="13.03"/>
    <x v="0"/>
  </r>
  <r>
    <x v="0"/>
    <s v="福岡市西区"/>
    <x v="14"/>
    <x v="9"/>
    <n v="197"/>
    <n v="6.53"/>
    <n v="59"/>
    <n v="4.8499999999999996"/>
    <n v="138"/>
    <n v="7.85"/>
    <x v="0"/>
  </r>
  <r>
    <x v="0"/>
    <s v="福岡市西区"/>
    <x v="14"/>
    <x v="10"/>
    <n v="259"/>
    <n v="8.59"/>
    <n v="196"/>
    <n v="16.12"/>
    <n v="62"/>
    <n v="3.53"/>
    <x v="0"/>
  </r>
  <r>
    <x v="0"/>
    <s v="福岡市西区"/>
    <x v="14"/>
    <x v="11"/>
    <n v="379"/>
    <n v="12.57"/>
    <n v="243"/>
    <n v="19.98"/>
    <n v="135"/>
    <n v="7.68"/>
    <x v="1"/>
  </r>
  <r>
    <x v="0"/>
    <s v="福岡市西区"/>
    <x v="14"/>
    <x v="12"/>
    <n v="150"/>
    <n v="4.97"/>
    <n v="86"/>
    <n v="7.07"/>
    <n v="40"/>
    <n v="2.2799999999999998"/>
    <x v="0"/>
  </r>
  <r>
    <x v="0"/>
    <s v="福岡市西区"/>
    <x v="14"/>
    <x v="13"/>
    <n v="199"/>
    <n v="6.6"/>
    <n v="106"/>
    <n v="8.7200000000000006"/>
    <n v="80"/>
    <n v="4.55"/>
    <x v="0"/>
  </r>
  <r>
    <x v="0"/>
    <s v="福岡市西区"/>
    <x v="14"/>
    <x v="14"/>
    <n v="92"/>
    <n v="3.05"/>
    <n v="32"/>
    <n v="2.63"/>
    <n v="59"/>
    <n v="3.36"/>
    <x v="0"/>
  </r>
  <r>
    <x v="0"/>
    <s v="福岡市城南区"/>
    <x v="15"/>
    <x v="0"/>
    <n v="0"/>
    <n v="0"/>
    <n v="0"/>
    <n v="0"/>
    <n v="0"/>
    <n v="0"/>
    <x v="0"/>
  </r>
  <r>
    <x v="0"/>
    <s v="福岡市城南区"/>
    <x v="15"/>
    <x v="1"/>
    <n v="276"/>
    <n v="13.51"/>
    <n v="40"/>
    <n v="4.0599999999999996"/>
    <n v="236"/>
    <n v="22.71"/>
    <x v="0"/>
  </r>
  <r>
    <x v="0"/>
    <s v="福岡市城南区"/>
    <x v="15"/>
    <x v="2"/>
    <n v="56"/>
    <n v="2.74"/>
    <n v="23"/>
    <n v="2.33"/>
    <n v="33"/>
    <n v="3.18"/>
    <x v="0"/>
  </r>
  <r>
    <x v="0"/>
    <s v="福岡市城南区"/>
    <x v="15"/>
    <x v="3"/>
    <n v="1"/>
    <n v="0.05"/>
    <n v="0"/>
    <n v="0"/>
    <n v="1"/>
    <n v="0.1"/>
    <x v="0"/>
  </r>
  <r>
    <x v="0"/>
    <s v="福岡市城南区"/>
    <x v="15"/>
    <x v="4"/>
    <n v="25"/>
    <n v="1.22"/>
    <n v="1"/>
    <n v="0.1"/>
    <n v="24"/>
    <n v="2.31"/>
    <x v="0"/>
  </r>
  <r>
    <x v="0"/>
    <s v="福岡市城南区"/>
    <x v="15"/>
    <x v="5"/>
    <n v="8"/>
    <n v="0.39"/>
    <n v="2"/>
    <n v="0.2"/>
    <n v="6"/>
    <n v="0.57999999999999996"/>
    <x v="0"/>
  </r>
  <r>
    <x v="0"/>
    <s v="福岡市城南区"/>
    <x v="15"/>
    <x v="6"/>
    <n v="408"/>
    <n v="19.97"/>
    <n v="193"/>
    <n v="19.57"/>
    <n v="214"/>
    <n v="20.6"/>
    <x v="1"/>
  </r>
  <r>
    <x v="0"/>
    <s v="福岡市城南区"/>
    <x v="15"/>
    <x v="7"/>
    <n v="14"/>
    <n v="0.69"/>
    <n v="5"/>
    <n v="0.51"/>
    <n v="9"/>
    <n v="0.87"/>
    <x v="0"/>
  </r>
  <r>
    <x v="0"/>
    <s v="福岡市城南区"/>
    <x v="15"/>
    <x v="8"/>
    <n v="301"/>
    <n v="14.73"/>
    <n v="96"/>
    <n v="9.74"/>
    <n v="205"/>
    <n v="19.73"/>
    <x v="0"/>
  </r>
  <r>
    <x v="0"/>
    <s v="福岡市城南区"/>
    <x v="15"/>
    <x v="9"/>
    <n v="119"/>
    <n v="5.82"/>
    <n v="42"/>
    <n v="4.26"/>
    <n v="77"/>
    <n v="7.41"/>
    <x v="0"/>
  </r>
  <r>
    <x v="0"/>
    <s v="福岡市城南区"/>
    <x v="15"/>
    <x v="10"/>
    <n v="227"/>
    <n v="11.11"/>
    <n v="194"/>
    <n v="19.68"/>
    <n v="33"/>
    <n v="3.18"/>
    <x v="0"/>
  </r>
  <r>
    <x v="0"/>
    <s v="福岡市城南区"/>
    <x v="15"/>
    <x v="11"/>
    <n v="327"/>
    <n v="16.010000000000002"/>
    <n v="251"/>
    <n v="25.46"/>
    <n v="76"/>
    <n v="7.31"/>
    <x v="0"/>
  </r>
  <r>
    <x v="0"/>
    <s v="福岡市城南区"/>
    <x v="15"/>
    <x v="12"/>
    <n v="85"/>
    <n v="4.16"/>
    <n v="49"/>
    <n v="4.97"/>
    <n v="24"/>
    <n v="2.31"/>
    <x v="1"/>
  </r>
  <r>
    <x v="0"/>
    <s v="福岡市城南区"/>
    <x v="15"/>
    <x v="13"/>
    <n v="136"/>
    <n v="6.66"/>
    <n v="73"/>
    <n v="7.4"/>
    <n v="58"/>
    <n v="5.58"/>
    <x v="0"/>
  </r>
  <r>
    <x v="0"/>
    <s v="福岡市城南区"/>
    <x v="15"/>
    <x v="14"/>
    <n v="60"/>
    <n v="2.94"/>
    <n v="17"/>
    <n v="1.72"/>
    <n v="43"/>
    <n v="4.1399999999999997"/>
    <x v="0"/>
  </r>
  <r>
    <x v="0"/>
    <s v="福岡市早良区"/>
    <x v="16"/>
    <x v="0"/>
    <n v="1"/>
    <n v="0.02"/>
    <n v="0"/>
    <n v="0"/>
    <n v="1"/>
    <n v="0.05"/>
    <x v="0"/>
  </r>
  <r>
    <x v="0"/>
    <s v="福岡市早良区"/>
    <x v="16"/>
    <x v="1"/>
    <n v="596"/>
    <n v="14.77"/>
    <n v="158"/>
    <n v="8.0399999999999991"/>
    <n v="437"/>
    <n v="21.53"/>
    <x v="1"/>
  </r>
  <r>
    <x v="0"/>
    <s v="福岡市早良区"/>
    <x v="16"/>
    <x v="2"/>
    <n v="128"/>
    <n v="3.17"/>
    <n v="47"/>
    <n v="2.39"/>
    <n v="81"/>
    <n v="3.99"/>
    <x v="0"/>
  </r>
  <r>
    <x v="0"/>
    <s v="福岡市早良区"/>
    <x v="16"/>
    <x v="3"/>
    <n v="2"/>
    <n v="0.05"/>
    <n v="0"/>
    <n v="0"/>
    <n v="2"/>
    <n v="0.1"/>
    <x v="0"/>
  </r>
  <r>
    <x v="0"/>
    <s v="福岡市早良区"/>
    <x v="16"/>
    <x v="4"/>
    <n v="64"/>
    <n v="1.59"/>
    <n v="5"/>
    <n v="0.25"/>
    <n v="59"/>
    <n v="2.91"/>
    <x v="0"/>
  </r>
  <r>
    <x v="0"/>
    <s v="福岡市早良区"/>
    <x v="16"/>
    <x v="5"/>
    <n v="29"/>
    <n v="0.72"/>
    <n v="22"/>
    <n v="1.1200000000000001"/>
    <n v="7"/>
    <n v="0.34"/>
    <x v="0"/>
  </r>
  <r>
    <x v="0"/>
    <s v="福岡市早良区"/>
    <x v="16"/>
    <x v="6"/>
    <n v="832"/>
    <n v="20.62"/>
    <n v="382"/>
    <n v="19.45"/>
    <n v="450"/>
    <n v="22.17"/>
    <x v="0"/>
  </r>
  <r>
    <x v="0"/>
    <s v="福岡市早良区"/>
    <x v="16"/>
    <x v="7"/>
    <n v="26"/>
    <n v="0.64"/>
    <n v="5"/>
    <n v="0.25"/>
    <n v="21"/>
    <n v="1.03"/>
    <x v="0"/>
  </r>
  <r>
    <x v="0"/>
    <s v="福岡市早良区"/>
    <x v="16"/>
    <x v="8"/>
    <n v="472"/>
    <n v="11.7"/>
    <n v="86"/>
    <n v="4.38"/>
    <n v="386"/>
    <n v="19.010000000000002"/>
    <x v="0"/>
  </r>
  <r>
    <x v="0"/>
    <s v="福岡市早良区"/>
    <x v="16"/>
    <x v="9"/>
    <n v="287"/>
    <n v="7.11"/>
    <n v="117"/>
    <n v="5.96"/>
    <n v="169"/>
    <n v="8.33"/>
    <x v="1"/>
  </r>
  <r>
    <x v="0"/>
    <s v="福岡市早良区"/>
    <x v="16"/>
    <x v="10"/>
    <n v="497"/>
    <n v="12.32"/>
    <n v="429"/>
    <n v="21.84"/>
    <n v="68"/>
    <n v="3.35"/>
    <x v="0"/>
  </r>
  <r>
    <x v="0"/>
    <s v="福岡市早良区"/>
    <x v="16"/>
    <x v="11"/>
    <n v="541"/>
    <n v="13.41"/>
    <n v="410"/>
    <n v="20.88"/>
    <n v="131"/>
    <n v="6.45"/>
    <x v="0"/>
  </r>
  <r>
    <x v="0"/>
    <s v="福岡市早良区"/>
    <x v="16"/>
    <x v="12"/>
    <n v="185"/>
    <n v="4.59"/>
    <n v="113"/>
    <n v="5.75"/>
    <n v="48"/>
    <n v="2.36"/>
    <x v="0"/>
  </r>
  <r>
    <x v="0"/>
    <s v="福岡市早良区"/>
    <x v="16"/>
    <x v="13"/>
    <n v="259"/>
    <n v="6.42"/>
    <n v="162"/>
    <n v="8.25"/>
    <n v="83"/>
    <n v="4.09"/>
    <x v="0"/>
  </r>
  <r>
    <x v="0"/>
    <s v="福岡市早良区"/>
    <x v="16"/>
    <x v="14"/>
    <n v="115"/>
    <n v="2.85"/>
    <n v="28"/>
    <n v="1.43"/>
    <n v="87"/>
    <n v="4.29"/>
    <x v="0"/>
  </r>
  <r>
    <x v="0"/>
    <s v="大牟田市"/>
    <x v="17"/>
    <x v="0"/>
    <n v="0"/>
    <n v="0"/>
    <n v="0"/>
    <n v="0"/>
    <n v="0"/>
    <n v="0"/>
    <x v="0"/>
  </r>
  <r>
    <x v="0"/>
    <s v="大牟田市"/>
    <x v="17"/>
    <x v="1"/>
    <n v="377"/>
    <n v="12.81"/>
    <n v="147"/>
    <n v="7.98"/>
    <n v="230"/>
    <n v="21.16"/>
    <x v="0"/>
  </r>
  <r>
    <x v="0"/>
    <s v="大牟田市"/>
    <x v="17"/>
    <x v="2"/>
    <n v="137"/>
    <n v="4.66"/>
    <n v="56"/>
    <n v="3.04"/>
    <n v="81"/>
    <n v="7.45"/>
    <x v="0"/>
  </r>
  <r>
    <x v="0"/>
    <s v="大牟田市"/>
    <x v="17"/>
    <x v="3"/>
    <n v="7"/>
    <n v="0.24"/>
    <n v="0"/>
    <n v="0"/>
    <n v="7"/>
    <n v="0.64"/>
    <x v="0"/>
  </r>
  <r>
    <x v="0"/>
    <s v="大牟田市"/>
    <x v="17"/>
    <x v="4"/>
    <n v="14"/>
    <n v="0.48"/>
    <n v="2"/>
    <n v="0.11"/>
    <n v="12"/>
    <n v="1.1000000000000001"/>
    <x v="0"/>
  </r>
  <r>
    <x v="0"/>
    <s v="大牟田市"/>
    <x v="17"/>
    <x v="5"/>
    <n v="29"/>
    <n v="0.99"/>
    <n v="11"/>
    <n v="0.6"/>
    <n v="18"/>
    <n v="1.66"/>
    <x v="0"/>
  </r>
  <r>
    <x v="0"/>
    <s v="大牟田市"/>
    <x v="17"/>
    <x v="6"/>
    <n v="821"/>
    <n v="27.9"/>
    <n v="459"/>
    <n v="24.91"/>
    <n v="360"/>
    <n v="33.119999999999997"/>
    <x v="10"/>
  </r>
  <r>
    <x v="0"/>
    <s v="大牟田市"/>
    <x v="17"/>
    <x v="7"/>
    <n v="22"/>
    <n v="0.75"/>
    <n v="5"/>
    <n v="0.27"/>
    <n v="17"/>
    <n v="1.56"/>
    <x v="0"/>
  </r>
  <r>
    <x v="0"/>
    <s v="大牟田市"/>
    <x v="17"/>
    <x v="8"/>
    <n v="214"/>
    <n v="7.27"/>
    <n v="108"/>
    <n v="5.86"/>
    <n v="106"/>
    <n v="9.75"/>
    <x v="0"/>
  </r>
  <r>
    <x v="0"/>
    <s v="大牟田市"/>
    <x v="17"/>
    <x v="9"/>
    <n v="108"/>
    <n v="3.67"/>
    <n v="71"/>
    <n v="3.85"/>
    <n v="36"/>
    <n v="3.31"/>
    <x v="0"/>
  </r>
  <r>
    <x v="0"/>
    <s v="大牟田市"/>
    <x v="17"/>
    <x v="10"/>
    <n v="430"/>
    <n v="14.61"/>
    <n v="382"/>
    <n v="20.73"/>
    <n v="48"/>
    <n v="4.42"/>
    <x v="0"/>
  </r>
  <r>
    <x v="0"/>
    <s v="大牟田市"/>
    <x v="17"/>
    <x v="11"/>
    <n v="421"/>
    <n v="14.31"/>
    <n v="362"/>
    <n v="19.64"/>
    <n v="58"/>
    <n v="5.34"/>
    <x v="1"/>
  </r>
  <r>
    <x v="0"/>
    <s v="大牟田市"/>
    <x v="17"/>
    <x v="12"/>
    <n v="104"/>
    <n v="3.53"/>
    <n v="76"/>
    <n v="4.12"/>
    <n v="20"/>
    <n v="1.84"/>
    <x v="0"/>
  </r>
  <r>
    <x v="0"/>
    <s v="大牟田市"/>
    <x v="17"/>
    <x v="13"/>
    <n v="171"/>
    <n v="5.81"/>
    <n v="108"/>
    <n v="5.86"/>
    <n v="63"/>
    <n v="5.8"/>
    <x v="0"/>
  </r>
  <r>
    <x v="0"/>
    <s v="大牟田市"/>
    <x v="17"/>
    <x v="14"/>
    <n v="88"/>
    <n v="2.99"/>
    <n v="56"/>
    <n v="3.04"/>
    <n v="31"/>
    <n v="2.85"/>
    <x v="1"/>
  </r>
  <r>
    <x v="0"/>
    <s v="久留米市"/>
    <x v="18"/>
    <x v="0"/>
    <n v="0"/>
    <n v="0"/>
    <n v="0"/>
    <n v="0"/>
    <n v="0"/>
    <n v="0"/>
    <x v="0"/>
  </r>
  <r>
    <x v="0"/>
    <s v="久留米市"/>
    <x v="18"/>
    <x v="1"/>
    <n v="906"/>
    <n v="12.6"/>
    <n v="305"/>
    <n v="7.74"/>
    <n v="601"/>
    <n v="18.690000000000001"/>
    <x v="0"/>
  </r>
  <r>
    <x v="0"/>
    <s v="久留米市"/>
    <x v="18"/>
    <x v="2"/>
    <n v="487"/>
    <n v="6.77"/>
    <n v="231"/>
    <n v="5.86"/>
    <n v="256"/>
    <n v="7.96"/>
    <x v="0"/>
  </r>
  <r>
    <x v="0"/>
    <s v="久留米市"/>
    <x v="18"/>
    <x v="3"/>
    <n v="15"/>
    <n v="0.21"/>
    <n v="0"/>
    <n v="0"/>
    <n v="11"/>
    <n v="0.34"/>
    <x v="0"/>
  </r>
  <r>
    <x v="0"/>
    <s v="久留米市"/>
    <x v="18"/>
    <x v="4"/>
    <n v="41"/>
    <n v="0.56999999999999995"/>
    <n v="4"/>
    <n v="0.1"/>
    <n v="36"/>
    <n v="1.1200000000000001"/>
    <x v="1"/>
  </r>
  <r>
    <x v="0"/>
    <s v="久留米市"/>
    <x v="18"/>
    <x v="5"/>
    <n v="57"/>
    <n v="0.79"/>
    <n v="23"/>
    <n v="0.57999999999999996"/>
    <n v="34"/>
    <n v="1.06"/>
    <x v="0"/>
  </r>
  <r>
    <x v="0"/>
    <s v="久留米市"/>
    <x v="18"/>
    <x v="6"/>
    <n v="1834"/>
    <n v="25.5"/>
    <n v="891"/>
    <n v="22.6"/>
    <n v="942"/>
    <n v="29.3"/>
    <x v="1"/>
  </r>
  <r>
    <x v="0"/>
    <s v="久留米市"/>
    <x v="18"/>
    <x v="7"/>
    <n v="70"/>
    <n v="0.97"/>
    <n v="13"/>
    <n v="0.33"/>
    <n v="57"/>
    <n v="1.77"/>
    <x v="0"/>
  </r>
  <r>
    <x v="0"/>
    <s v="久留米市"/>
    <x v="18"/>
    <x v="8"/>
    <n v="624"/>
    <n v="8.68"/>
    <n v="215"/>
    <n v="5.45"/>
    <n v="407"/>
    <n v="12.66"/>
    <x v="1"/>
  </r>
  <r>
    <x v="0"/>
    <s v="久留米市"/>
    <x v="18"/>
    <x v="9"/>
    <n v="408"/>
    <n v="5.67"/>
    <n v="249"/>
    <n v="6.32"/>
    <n v="153"/>
    <n v="4.76"/>
    <x v="14"/>
  </r>
  <r>
    <x v="0"/>
    <s v="久留米市"/>
    <x v="18"/>
    <x v="10"/>
    <n v="900"/>
    <n v="12.51"/>
    <n v="747"/>
    <n v="18.95"/>
    <n v="153"/>
    <n v="4.76"/>
    <x v="0"/>
  </r>
  <r>
    <x v="0"/>
    <s v="久留米市"/>
    <x v="18"/>
    <x v="11"/>
    <n v="909"/>
    <n v="12.64"/>
    <n v="726"/>
    <n v="18.420000000000002"/>
    <n v="182"/>
    <n v="5.66"/>
    <x v="1"/>
  </r>
  <r>
    <x v="0"/>
    <s v="久留米市"/>
    <x v="18"/>
    <x v="12"/>
    <n v="222"/>
    <n v="3.09"/>
    <n v="164"/>
    <n v="4.16"/>
    <n v="54"/>
    <n v="1.68"/>
    <x v="10"/>
  </r>
  <r>
    <x v="0"/>
    <s v="久留米市"/>
    <x v="18"/>
    <x v="13"/>
    <n v="405"/>
    <n v="5.63"/>
    <n v="229"/>
    <n v="5.81"/>
    <n v="164"/>
    <n v="5.0999999999999996"/>
    <x v="10"/>
  </r>
  <r>
    <x v="0"/>
    <s v="久留米市"/>
    <x v="18"/>
    <x v="14"/>
    <n v="314"/>
    <n v="4.37"/>
    <n v="145"/>
    <n v="3.68"/>
    <n v="165"/>
    <n v="5.13"/>
    <x v="3"/>
  </r>
  <r>
    <x v="0"/>
    <s v="直方市"/>
    <x v="19"/>
    <x v="0"/>
    <n v="0"/>
    <n v="0"/>
    <n v="0"/>
    <n v="0"/>
    <n v="0"/>
    <n v="0"/>
    <x v="0"/>
  </r>
  <r>
    <x v="0"/>
    <s v="直方市"/>
    <x v="19"/>
    <x v="1"/>
    <n v="185"/>
    <n v="13.17"/>
    <n v="50"/>
    <n v="6.93"/>
    <n v="135"/>
    <n v="20.03"/>
    <x v="0"/>
  </r>
  <r>
    <x v="0"/>
    <s v="直方市"/>
    <x v="19"/>
    <x v="2"/>
    <n v="171"/>
    <n v="12.17"/>
    <n v="70"/>
    <n v="9.7100000000000009"/>
    <n v="101"/>
    <n v="14.99"/>
    <x v="0"/>
  </r>
  <r>
    <x v="0"/>
    <s v="直方市"/>
    <x v="19"/>
    <x v="3"/>
    <n v="4"/>
    <n v="0.28000000000000003"/>
    <n v="0"/>
    <n v="0"/>
    <n v="3"/>
    <n v="0.45"/>
    <x v="0"/>
  </r>
  <r>
    <x v="0"/>
    <s v="直方市"/>
    <x v="19"/>
    <x v="4"/>
    <n v="8"/>
    <n v="0.56999999999999995"/>
    <n v="1"/>
    <n v="0.14000000000000001"/>
    <n v="7"/>
    <n v="1.04"/>
    <x v="0"/>
  </r>
  <r>
    <x v="0"/>
    <s v="直方市"/>
    <x v="19"/>
    <x v="5"/>
    <n v="4"/>
    <n v="0.28000000000000003"/>
    <n v="1"/>
    <n v="0.14000000000000001"/>
    <n v="3"/>
    <n v="0.45"/>
    <x v="0"/>
  </r>
  <r>
    <x v="0"/>
    <s v="直方市"/>
    <x v="19"/>
    <x v="6"/>
    <n v="404"/>
    <n v="28.75"/>
    <n v="191"/>
    <n v="26.49"/>
    <n v="213"/>
    <n v="31.6"/>
    <x v="0"/>
  </r>
  <r>
    <x v="0"/>
    <s v="直方市"/>
    <x v="19"/>
    <x v="7"/>
    <n v="11"/>
    <n v="0.78"/>
    <n v="2"/>
    <n v="0.28000000000000003"/>
    <n v="9"/>
    <n v="1.34"/>
    <x v="0"/>
  </r>
  <r>
    <x v="0"/>
    <s v="直方市"/>
    <x v="19"/>
    <x v="8"/>
    <n v="81"/>
    <n v="5.77"/>
    <n v="13"/>
    <n v="1.8"/>
    <n v="67"/>
    <n v="9.94"/>
    <x v="0"/>
  </r>
  <r>
    <x v="0"/>
    <s v="直方市"/>
    <x v="19"/>
    <x v="9"/>
    <n v="59"/>
    <n v="4.2"/>
    <n v="33"/>
    <n v="4.58"/>
    <n v="24"/>
    <n v="3.56"/>
    <x v="0"/>
  </r>
  <r>
    <x v="0"/>
    <s v="直方市"/>
    <x v="19"/>
    <x v="10"/>
    <n v="151"/>
    <n v="10.75"/>
    <n v="132"/>
    <n v="18.309999999999999"/>
    <n v="19"/>
    <n v="2.82"/>
    <x v="0"/>
  </r>
  <r>
    <x v="0"/>
    <s v="直方市"/>
    <x v="19"/>
    <x v="11"/>
    <n v="178"/>
    <n v="12.67"/>
    <n v="145"/>
    <n v="20.11"/>
    <n v="31"/>
    <n v="4.5999999999999996"/>
    <x v="1"/>
  </r>
  <r>
    <x v="0"/>
    <s v="直方市"/>
    <x v="19"/>
    <x v="12"/>
    <n v="28"/>
    <n v="1.99"/>
    <n v="15"/>
    <n v="2.08"/>
    <n v="12"/>
    <n v="1.78"/>
    <x v="0"/>
  </r>
  <r>
    <x v="0"/>
    <s v="直方市"/>
    <x v="19"/>
    <x v="13"/>
    <n v="75"/>
    <n v="5.34"/>
    <n v="45"/>
    <n v="6.24"/>
    <n v="28"/>
    <n v="4.1500000000000004"/>
    <x v="1"/>
  </r>
  <r>
    <x v="0"/>
    <s v="直方市"/>
    <x v="19"/>
    <x v="14"/>
    <n v="46"/>
    <n v="3.27"/>
    <n v="23"/>
    <n v="3.19"/>
    <n v="22"/>
    <n v="3.26"/>
    <x v="0"/>
  </r>
  <r>
    <x v="0"/>
    <s v="飯塚市"/>
    <x v="20"/>
    <x v="0"/>
    <n v="1"/>
    <n v="0.03"/>
    <n v="0"/>
    <n v="0"/>
    <n v="1"/>
    <n v="0.08"/>
    <x v="0"/>
  </r>
  <r>
    <x v="0"/>
    <s v="飯塚市"/>
    <x v="20"/>
    <x v="1"/>
    <n v="396"/>
    <n v="13.84"/>
    <n v="104"/>
    <n v="6.53"/>
    <n v="292"/>
    <n v="23.42"/>
    <x v="0"/>
  </r>
  <r>
    <x v="0"/>
    <s v="飯塚市"/>
    <x v="20"/>
    <x v="2"/>
    <n v="170"/>
    <n v="5.94"/>
    <n v="62"/>
    <n v="3.89"/>
    <n v="108"/>
    <n v="8.66"/>
    <x v="0"/>
  </r>
  <r>
    <x v="0"/>
    <s v="飯塚市"/>
    <x v="20"/>
    <x v="3"/>
    <n v="6"/>
    <n v="0.21"/>
    <n v="0"/>
    <n v="0"/>
    <n v="6"/>
    <n v="0.48"/>
    <x v="0"/>
  </r>
  <r>
    <x v="0"/>
    <s v="飯塚市"/>
    <x v="20"/>
    <x v="4"/>
    <n v="13"/>
    <n v="0.45"/>
    <n v="1"/>
    <n v="0.06"/>
    <n v="12"/>
    <n v="0.96"/>
    <x v="0"/>
  </r>
  <r>
    <x v="0"/>
    <s v="飯塚市"/>
    <x v="20"/>
    <x v="5"/>
    <n v="21"/>
    <n v="0.73"/>
    <n v="5"/>
    <n v="0.31"/>
    <n v="16"/>
    <n v="1.28"/>
    <x v="0"/>
  </r>
  <r>
    <x v="0"/>
    <s v="飯塚市"/>
    <x v="20"/>
    <x v="6"/>
    <n v="754"/>
    <n v="26.35"/>
    <n v="402"/>
    <n v="25.24"/>
    <n v="351"/>
    <n v="28.15"/>
    <x v="1"/>
  </r>
  <r>
    <x v="0"/>
    <s v="飯塚市"/>
    <x v="20"/>
    <x v="7"/>
    <n v="25"/>
    <n v="0.87"/>
    <n v="8"/>
    <n v="0.5"/>
    <n v="17"/>
    <n v="1.36"/>
    <x v="0"/>
  </r>
  <r>
    <x v="0"/>
    <s v="飯塚市"/>
    <x v="20"/>
    <x v="8"/>
    <n v="179"/>
    <n v="6.26"/>
    <n v="52"/>
    <n v="3.26"/>
    <n v="127"/>
    <n v="10.18"/>
    <x v="0"/>
  </r>
  <r>
    <x v="0"/>
    <s v="飯塚市"/>
    <x v="20"/>
    <x v="9"/>
    <n v="122"/>
    <n v="4.26"/>
    <n v="75"/>
    <n v="4.71"/>
    <n v="46"/>
    <n v="3.69"/>
    <x v="0"/>
  </r>
  <r>
    <x v="0"/>
    <s v="飯塚市"/>
    <x v="20"/>
    <x v="10"/>
    <n v="389"/>
    <n v="13.6"/>
    <n v="333"/>
    <n v="20.9"/>
    <n v="56"/>
    <n v="4.49"/>
    <x v="0"/>
  </r>
  <r>
    <x v="0"/>
    <s v="飯塚市"/>
    <x v="20"/>
    <x v="11"/>
    <n v="425"/>
    <n v="14.85"/>
    <n v="351"/>
    <n v="22.03"/>
    <n v="73"/>
    <n v="5.85"/>
    <x v="1"/>
  </r>
  <r>
    <x v="0"/>
    <s v="飯塚市"/>
    <x v="20"/>
    <x v="12"/>
    <n v="74"/>
    <n v="2.59"/>
    <n v="43"/>
    <n v="2.7"/>
    <n v="21"/>
    <n v="1.68"/>
    <x v="0"/>
  </r>
  <r>
    <x v="0"/>
    <s v="飯塚市"/>
    <x v="20"/>
    <x v="13"/>
    <n v="162"/>
    <n v="5.66"/>
    <n v="93"/>
    <n v="5.84"/>
    <n v="67"/>
    <n v="5.37"/>
    <x v="0"/>
  </r>
  <r>
    <x v="0"/>
    <s v="飯塚市"/>
    <x v="20"/>
    <x v="14"/>
    <n v="124"/>
    <n v="4.33"/>
    <n v="64"/>
    <n v="4.0199999999999996"/>
    <n v="54"/>
    <n v="4.33"/>
    <x v="0"/>
  </r>
  <r>
    <x v="0"/>
    <s v="田川市"/>
    <x v="21"/>
    <x v="0"/>
    <n v="0"/>
    <n v="0"/>
    <n v="0"/>
    <n v="0"/>
    <n v="0"/>
    <n v="0"/>
    <x v="0"/>
  </r>
  <r>
    <x v="0"/>
    <s v="田川市"/>
    <x v="21"/>
    <x v="1"/>
    <n v="131"/>
    <n v="10.47"/>
    <n v="39"/>
    <n v="4.9000000000000004"/>
    <n v="92"/>
    <n v="20.72"/>
    <x v="0"/>
  </r>
  <r>
    <x v="0"/>
    <s v="田川市"/>
    <x v="21"/>
    <x v="2"/>
    <n v="63"/>
    <n v="5.04"/>
    <n v="30"/>
    <n v="3.77"/>
    <n v="33"/>
    <n v="7.43"/>
    <x v="0"/>
  </r>
  <r>
    <x v="0"/>
    <s v="田川市"/>
    <x v="21"/>
    <x v="3"/>
    <n v="8"/>
    <n v="0.64"/>
    <n v="0"/>
    <n v="0"/>
    <n v="7"/>
    <n v="1.58"/>
    <x v="0"/>
  </r>
  <r>
    <x v="0"/>
    <s v="田川市"/>
    <x v="21"/>
    <x v="4"/>
    <n v="7"/>
    <n v="0.56000000000000005"/>
    <n v="0"/>
    <n v="0"/>
    <n v="7"/>
    <n v="1.58"/>
    <x v="0"/>
  </r>
  <r>
    <x v="0"/>
    <s v="田川市"/>
    <x v="21"/>
    <x v="5"/>
    <n v="7"/>
    <n v="0.56000000000000005"/>
    <n v="2"/>
    <n v="0.25"/>
    <n v="5"/>
    <n v="1.1299999999999999"/>
    <x v="0"/>
  </r>
  <r>
    <x v="0"/>
    <s v="田川市"/>
    <x v="21"/>
    <x v="6"/>
    <n v="345"/>
    <n v="27.58"/>
    <n v="222"/>
    <n v="27.89"/>
    <n v="123"/>
    <n v="27.7"/>
    <x v="0"/>
  </r>
  <r>
    <x v="0"/>
    <s v="田川市"/>
    <x v="21"/>
    <x v="7"/>
    <n v="9"/>
    <n v="0.72"/>
    <n v="3"/>
    <n v="0.38"/>
    <n v="6"/>
    <n v="1.35"/>
    <x v="0"/>
  </r>
  <r>
    <x v="0"/>
    <s v="田川市"/>
    <x v="21"/>
    <x v="8"/>
    <n v="61"/>
    <n v="4.88"/>
    <n v="19"/>
    <n v="2.39"/>
    <n v="42"/>
    <n v="9.4600000000000009"/>
    <x v="0"/>
  </r>
  <r>
    <x v="0"/>
    <s v="田川市"/>
    <x v="21"/>
    <x v="9"/>
    <n v="55"/>
    <n v="4.4000000000000004"/>
    <n v="32"/>
    <n v="4.0199999999999996"/>
    <n v="22"/>
    <n v="4.95"/>
    <x v="0"/>
  </r>
  <r>
    <x v="0"/>
    <s v="田川市"/>
    <x v="21"/>
    <x v="10"/>
    <n v="188"/>
    <n v="15.03"/>
    <n v="174"/>
    <n v="21.86"/>
    <n v="14"/>
    <n v="3.15"/>
    <x v="0"/>
  </r>
  <r>
    <x v="0"/>
    <s v="田川市"/>
    <x v="21"/>
    <x v="11"/>
    <n v="205"/>
    <n v="16.39"/>
    <n v="180"/>
    <n v="22.61"/>
    <n v="24"/>
    <n v="5.41"/>
    <x v="1"/>
  </r>
  <r>
    <x v="0"/>
    <s v="田川市"/>
    <x v="21"/>
    <x v="12"/>
    <n v="35"/>
    <n v="2.8"/>
    <n v="28"/>
    <n v="3.52"/>
    <n v="7"/>
    <n v="1.58"/>
    <x v="0"/>
  </r>
  <r>
    <x v="0"/>
    <s v="田川市"/>
    <x v="21"/>
    <x v="13"/>
    <n v="80"/>
    <n v="6.39"/>
    <n v="35"/>
    <n v="4.4000000000000004"/>
    <n v="38"/>
    <n v="8.56"/>
    <x v="1"/>
  </r>
  <r>
    <x v="0"/>
    <s v="田川市"/>
    <x v="21"/>
    <x v="14"/>
    <n v="57"/>
    <n v="4.5599999999999996"/>
    <n v="32"/>
    <n v="4.0199999999999996"/>
    <n v="24"/>
    <n v="5.41"/>
    <x v="1"/>
  </r>
  <r>
    <x v="0"/>
    <s v="柳川市"/>
    <x v="22"/>
    <x v="0"/>
    <n v="0"/>
    <n v="0"/>
    <n v="0"/>
    <n v="0"/>
    <n v="0"/>
    <n v="0"/>
    <x v="0"/>
  </r>
  <r>
    <x v="0"/>
    <s v="柳川市"/>
    <x v="22"/>
    <x v="1"/>
    <n v="223"/>
    <n v="13.48"/>
    <n v="106"/>
    <n v="10.02"/>
    <n v="117"/>
    <n v="20.63"/>
    <x v="0"/>
  </r>
  <r>
    <x v="0"/>
    <s v="柳川市"/>
    <x v="22"/>
    <x v="2"/>
    <n v="216"/>
    <n v="13.06"/>
    <n v="125"/>
    <n v="11.81"/>
    <n v="91"/>
    <n v="16.05"/>
    <x v="0"/>
  </r>
  <r>
    <x v="0"/>
    <s v="柳川市"/>
    <x v="22"/>
    <x v="3"/>
    <n v="1"/>
    <n v="0.06"/>
    <n v="1"/>
    <n v="0.09"/>
    <n v="0"/>
    <n v="0"/>
    <x v="0"/>
  </r>
  <r>
    <x v="0"/>
    <s v="柳川市"/>
    <x v="22"/>
    <x v="4"/>
    <n v="3"/>
    <n v="0.18"/>
    <n v="0"/>
    <n v="0"/>
    <n v="3"/>
    <n v="0.53"/>
    <x v="0"/>
  </r>
  <r>
    <x v="0"/>
    <s v="柳川市"/>
    <x v="22"/>
    <x v="5"/>
    <n v="8"/>
    <n v="0.48"/>
    <n v="2"/>
    <n v="0.19"/>
    <n v="6"/>
    <n v="1.06"/>
    <x v="0"/>
  </r>
  <r>
    <x v="0"/>
    <s v="柳川市"/>
    <x v="22"/>
    <x v="6"/>
    <n v="478"/>
    <n v="28.9"/>
    <n v="314"/>
    <n v="29.68"/>
    <n v="164"/>
    <n v="28.92"/>
    <x v="0"/>
  </r>
  <r>
    <x v="0"/>
    <s v="柳川市"/>
    <x v="22"/>
    <x v="7"/>
    <n v="7"/>
    <n v="0.42"/>
    <n v="3"/>
    <n v="0.28000000000000003"/>
    <n v="4"/>
    <n v="0.71"/>
    <x v="0"/>
  </r>
  <r>
    <x v="0"/>
    <s v="柳川市"/>
    <x v="22"/>
    <x v="8"/>
    <n v="103"/>
    <n v="6.23"/>
    <n v="54"/>
    <n v="5.0999999999999996"/>
    <n v="49"/>
    <n v="8.64"/>
    <x v="0"/>
  </r>
  <r>
    <x v="0"/>
    <s v="柳川市"/>
    <x v="22"/>
    <x v="9"/>
    <n v="70"/>
    <n v="4.2300000000000004"/>
    <n v="36"/>
    <n v="3.4"/>
    <n v="34"/>
    <n v="6"/>
    <x v="0"/>
  </r>
  <r>
    <x v="0"/>
    <s v="柳川市"/>
    <x v="22"/>
    <x v="10"/>
    <n v="153"/>
    <n v="9.25"/>
    <n v="123"/>
    <n v="11.63"/>
    <n v="28"/>
    <n v="4.9400000000000004"/>
    <x v="0"/>
  </r>
  <r>
    <x v="0"/>
    <s v="柳川市"/>
    <x v="22"/>
    <x v="11"/>
    <n v="198"/>
    <n v="11.97"/>
    <n v="169"/>
    <n v="15.97"/>
    <n v="27"/>
    <n v="4.76"/>
    <x v="0"/>
  </r>
  <r>
    <x v="0"/>
    <s v="柳川市"/>
    <x v="22"/>
    <x v="12"/>
    <n v="49"/>
    <n v="2.96"/>
    <n v="23"/>
    <n v="2.17"/>
    <n v="5"/>
    <n v="0.88"/>
    <x v="0"/>
  </r>
  <r>
    <x v="0"/>
    <s v="柳川市"/>
    <x v="22"/>
    <x v="13"/>
    <n v="86"/>
    <n v="5.2"/>
    <n v="65"/>
    <n v="6.14"/>
    <n v="20"/>
    <n v="3.53"/>
    <x v="1"/>
  </r>
  <r>
    <x v="0"/>
    <s v="柳川市"/>
    <x v="22"/>
    <x v="14"/>
    <n v="59"/>
    <n v="3.57"/>
    <n v="37"/>
    <n v="3.5"/>
    <n v="19"/>
    <n v="3.35"/>
    <x v="0"/>
  </r>
  <r>
    <x v="0"/>
    <s v="八女市"/>
    <x v="23"/>
    <x v="0"/>
    <n v="0"/>
    <n v="0"/>
    <n v="0"/>
    <n v="0"/>
    <n v="0"/>
    <n v="0"/>
    <x v="0"/>
  </r>
  <r>
    <x v="0"/>
    <s v="八女市"/>
    <x v="23"/>
    <x v="1"/>
    <n v="313"/>
    <n v="17.41"/>
    <n v="204"/>
    <n v="16.850000000000001"/>
    <n v="109"/>
    <n v="19.82"/>
    <x v="0"/>
  </r>
  <r>
    <x v="0"/>
    <s v="八女市"/>
    <x v="23"/>
    <x v="2"/>
    <n v="255"/>
    <n v="14.18"/>
    <n v="151"/>
    <n v="12.47"/>
    <n v="91"/>
    <n v="16.55"/>
    <x v="17"/>
  </r>
  <r>
    <x v="0"/>
    <s v="八女市"/>
    <x v="23"/>
    <x v="3"/>
    <n v="2"/>
    <n v="0.11"/>
    <n v="0"/>
    <n v="0"/>
    <n v="2"/>
    <n v="0.36"/>
    <x v="0"/>
  </r>
  <r>
    <x v="0"/>
    <s v="八女市"/>
    <x v="23"/>
    <x v="4"/>
    <n v="5"/>
    <n v="0.28000000000000003"/>
    <n v="0"/>
    <n v="0"/>
    <n v="5"/>
    <n v="0.91"/>
    <x v="0"/>
  </r>
  <r>
    <x v="0"/>
    <s v="八女市"/>
    <x v="23"/>
    <x v="5"/>
    <n v="5"/>
    <n v="0.28000000000000003"/>
    <n v="0"/>
    <n v="0"/>
    <n v="4"/>
    <n v="0.73"/>
    <x v="1"/>
  </r>
  <r>
    <x v="0"/>
    <s v="八女市"/>
    <x v="23"/>
    <x v="6"/>
    <n v="479"/>
    <n v="26.64"/>
    <n v="316"/>
    <n v="26.09"/>
    <n v="163"/>
    <n v="29.64"/>
    <x v="0"/>
  </r>
  <r>
    <x v="0"/>
    <s v="八女市"/>
    <x v="23"/>
    <x v="7"/>
    <n v="9"/>
    <n v="0.5"/>
    <n v="2"/>
    <n v="0.17"/>
    <n v="7"/>
    <n v="1.27"/>
    <x v="0"/>
  </r>
  <r>
    <x v="0"/>
    <s v="八女市"/>
    <x v="23"/>
    <x v="8"/>
    <n v="64"/>
    <n v="3.56"/>
    <n v="28"/>
    <n v="2.31"/>
    <n v="36"/>
    <n v="6.55"/>
    <x v="0"/>
  </r>
  <r>
    <x v="0"/>
    <s v="八女市"/>
    <x v="23"/>
    <x v="9"/>
    <n v="72"/>
    <n v="4"/>
    <n v="41"/>
    <n v="3.39"/>
    <n v="30"/>
    <n v="5.45"/>
    <x v="0"/>
  </r>
  <r>
    <x v="0"/>
    <s v="八女市"/>
    <x v="23"/>
    <x v="10"/>
    <n v="179"/>
    <n v="9.9600000000000009"/>
    <n v="165"/>
    <n v="13.63"/>
    <n v="14"/>
    <n v="2.5499999999999998"/>
    <x v="0"/>
  </r>
  <r>
    <x v="0"/>
    <s v="八女市"/>
    <x v="23"/>
    <x v="11"/>
    <n v="201"/>
    <n v="11.18"/>
    <n v="170"/>
    <n v="14.04"/>
    <n v="31"/>
    <n v="5.64"/>
    <x v="0"/>
  </r>
  <r>
    <x v="0"/>
    <s v="八女市"/>
    <x v="23"/>
    <x v="12"/>
    <n v="41"/>
    <n v="2.2799999999999998"/>
    <n v="21"/>
    <n v="1.73"/>
    <n v="6"/>
    <n v="1.0900000000000001"/>
    <x v="0"/>
  </r>
  <r>
    <x v="0"/>
    <s v="八女市"/>
    <x v="23"/>
    <x v="13"/>
    <n v="75"/>
    <n v="4.17"/>
    <n v="48"/>
    <n v="3.96"/>
    <n v="21"/>
    <n v="3.82"/>
    <x v="0"/>
  </r>
  <r>
    <x v="0"/>
    <s v="八女市"/>
    <x v="23"/>
    <x v="14"/>
    <n v="98"/>
    <n v="5.45"/>
    <n v="65"/>
    <n v="5.37"/>
    <n v="31"/>
    <n v="5.64"/>
    <x v="0"/>
  </r>
  <r>
    <x v="0"/>
    <s v="筑後市"/>
    <x v="24"/>
    <x v="0"/>
    <n v="0"/>
    <n v="0"/>
    <n v="0"/>
    <n v="0"/>
    <n v="0"/>
    <n v="0"/>
    <x v="0"/>
  </r>
  <r>
    <x v="0"/>
    <s v="筑後市"/>
    <x v="24"/>
    <x v="1"/>
    <n v="122"/>
    <n v="11.51"/>
    <n v="57"/>
    <n v="8.89"/>
    <n v="65"/>
    <n v="15.82"/>
    <x v="0"/>
  </r>
  <r>
    <x v="0"/>
    <s v="筑後市"/>
    <x v="24"/>
    <x v="2"/>
    <n v="122"/>
    <n v="11.51"/>
    <n v="74"/>
    <n v="11.54"/>
    <n v="48"/>
    <n v="11.68"/>
    <x v="0"/>
  </r>
  <r>
    <x v="0"/>
    <s v="筑後市"/>
    <x v="24"/>
    <x v="3"/>
    <n v="3"/>
    <n v="0.28000000000000003"/>
    <n v="0"/>
    <n v="0"/>
    <n v="3"/>
    <n v="0.73"/>
    <x v="0"/>
  </r>
  <r>
    <x v="0"/>
    <s v="筑後市"/>
    <x v="24"/>
    <x v="4"/>
    <n v="2"/>
    <n v="0.19"/>
    <n v="0"/>
    <n v="0"/>
    <n v="2"/>
    <n v="0.49"/>
    <x v="0"/>
  </r>
  <r>
    <x v="0"/>
    <s v="筑後市"/>
    <x v="24"/>
    <x v="5"/>
    <n v="9"/>
    <n v="0.85"/>
    <n v="2"/>
    <n v="0.31"/>
    <n v="6"/>
    <n v="1.46"/>
    <x v="1"/>
  </r>
  <r>
    <x v="0"/>
    <s v="筑後市"/>
    <x v="24"/>
    <x v="6"/>
    <n v="282"/>
    <n v="26.6"/>
    <n v="156"/>
    <n v="24.34"/>
    <n v="125"/>
    <n v="30.41"/>
    <x v="1"/>
  </r>
  <r>
    <x v="0"/>
    <s v="筑後市"/>
    <x v="24"/>
    <x v="7"/>
    <n v="4"/>
    <n v="0.38"/>
    <n v="1"/>
    <n v="0.16"/>
    <n v="3"/>
    <n v="0.73"/>
    <x v="0"/>
  </r>
  <r>
    <x v="0"/>
    <s v="筑後市"/>
    <x v="24"/>
    <x v="8"/>
    <n v="74"/>
    <n v="6.98"/>
    <n v="19"/>
    <n v="2.96"/>
    <n v="54"/>
    <n v="13.14"/>
    <x v="0"/>
  </r>
  <r>
    <x v="0"/>
    <s v="筑後市"/>
    <x v="24"/>
    <x v="9"/>
    <n v="51"/>
    <n v="4.8099999999999996"/>
    <n v="26"/>
    <n v="4.0599999999999996"/>
    <n v="25"/>
    <n v="6.08"/>
    <x v="0"/>
  </r>
  <r>
    <x v="0"/>
    <s v="筑後市"/>
    <x v="24"/>
    <x v="10"/>
    <n v="111"/>
    <n v="10.47"/>
    <n v="91"/>
    <n v="14.2"/>
    <n v="20"/>
    <n v="4.87"/>
    <x v="0"/>
  </r>
  <r>
    <x v="0"/>
    <s v="筑後市"/>
    <x v="24"/>
    <x v="11"/>
    <n v="141"/>
    <n v="13.3"/>
    <n v="114"/>
    <n v="17.78"/>
    <n v="27"/>
    <n v="6.57"/>
    <x v="0"/>
  </r>
  <r>
    <x v="0"/>
    <s v="筑後市"/>
    <x v="24"/>
    <x v="12"/>
    <n v="42"/>
    <n v="3.96"/>
    <n v="34"/>
    <n v="5.3"/>
    <n v="6"/>
    <n v="1.46"/>
    <x v="1"/>
  </r>
  <r>
    <x v="0"/>
    <s v="筑後市"/>
    <x v="24"/>
    <x v="13"/>
    <n v="59"/>
    <n v="5.57"/>
    <n v="40"/>
    <n v="6.24"/>
    <n v="16"/>
    <n v="3.89"/>
    <x v="10"/>
  </r>
  <r>
    <x v="0"/>
    <s v="筑後市"/>
    <x v="24"/>
    <x v="14"/>
    <n v="38"/>
    <n v="3.58"/>
    <n v="27"/>
    <n v="4.21"/>
    <n v="11"/>
    <n v="2.68"/>
    <x v="0"/>
  </r>
  <r>
    <x v="0"/>
    <s v="大川市"/>
    <x v="25"/>
    <x v="0"/>
    <n v="0"/>
    <n v="0"/>
    <n v="0"/>
    <n v="0"/>
    <n v="0"/>
    <n v="0"/>
    <x v="0"/>
  </r>
  <r>
    <x v="0"/>
    <s v="大川市"/>
    <x v="25"/>
    <x v="1"/>
    <n v="114"/>
    <n v="7.85"/>
    <n v="62"/>
    <n v="6.56"/>
    <n v="52"/>
    <n v="10.4"/>
    <x v="0"/>
  </r>
  <r>
    <x v="0"/>
    <s v="大川市"/>
    <x v="25"/>
    <x v="2"/>
    <n v="475"/>
    <n v="32.69"/>
    <n v="346"/>
    <n v="36.61"/>
    <n v="129"/>
    <n v="25.8"/>
    <x v="0"/>
  </r>
  <r>
    <x v="0"/>
    <s v="大川市"/>
    <x v="25"/>
    <x v="3"/>
    <n v="1"/>
    <n v="7.0000000000000007E-2"/>
    <n v="0"/>
    <n v="0"/>
    <n v="1"/>
    <n v="0.2"/>
    <x v="0"/>
  </r>
  <r>
    <x v="0"/>
    <s v="大川市"/>
    <x v="25"/>
    <x v="4"/>
    <n v="3"/>
    <n v="0.21"/>
    <n v="0"/>
    <n v="0"/>
    <n v="3"/>
    <n v="0.6"/>
    <x v="0"/>
  </r>
  <r>
    <x v="0"/>
    <s v="大川市"/>
    <x v="25"/>
    <x v="5"/>
    <n v="6"/>
    <n v="0.41"/>
    <n v="0"/>
    <n v="0"/>
    <n v="6"/>
    <n v="1.2"/>
    <x v="0"/>
  </r>
  <r>
    <x v="0"/>
    <s v="大川市"/>
    <x v="25"/>
    <x v="6"/>
    <n v="379"/>
    <n v="26.08"/>
    <n v="214"/>
    <n v="22.65"/>
    <n v="165"/>
    <n v="33"/>
    <x v="0"/>
  </r>
  <r>
    <x v="0"/>
    <s v="大川市"/>
    <x v="25"/>
    <x v="7"/>
    <n v="6"/>
    <n v="0.41"/>
    <n v="0"/>
    <n v="0"/>
    <n v="6"/>
    <n v="1.2"/>
    <x v="0"/>
  </r>
  <r>
    <x v="0"/>
    <s v="大川市"/>
    <x v="25"/>
    <x v="8"/>
    <n v="81"/>
    <n v="5.57"/>
    <n v="30"/>
    <n v="3.17"/>
    <n v="51"/>
    <n v="10.199999999999999"/>
    <x v="0"/>
  </r>
  <r>
    <x v="0"/>
    <s v="大川市"/>
    <x v="25"/>
    <x v="9"/>
    <n v="46"/>
    <n v="3.17"/>
    <n v="24"/>
    <n v="2.54"/>
    <n v="21"/>
    <n v="4.2"/>
    <x v="0"/>
  </r>
  <r>
    <x v="0"/>
    <s v="大川市"/>
    <x v="25"/>
    <x v="10"/>
    <n v="112"/>
    <n v="7.71"/>
    <n v="98"/>
    <n v="10.37"/>
    <n v="13"/>
    <n v="2.6"/>
    <x v="0"/>
  </r>
  <r>
    <x v="0"/>
    <s v="大川市"/>
    <x v="25"/>
    <x v="11"/>
    <n v="117"/>
    <n v="8.0500000000000007"/>
    <n v="95"/>
    <n v="10.050000000000001"/>
    <n v="22"/>
    <n v="4.4000000000000004"/>
    <x v="0"/>
  </r>
  <r>
    <x v="0"/>
    <s v="大川市"/>
    <x v="25"/>
    <x v="12"/>
    <n v="24"/>
    <n v="1.65"/>
    <n v="18"/>
    <n v="1.9"/>
    <n v="2"/>
    <n v="0.4"/>
    <x v="10"/>
  </r>
  <r>
    <x v="0"/>
    <s v="大川市"/>
    <x v="25"/>
    <x v="13"/>
    <n v="46"/>
    <n v="3.17"/>
    <n v="31"/>
    <n v="3.28"/>
    <n v="14"/>
    <n v="2.8"/>
    <x v="0"/>
  </r>
  <r>
    <x v="0"/>
    <s v="大川市"/>
    <x v="25"/>
    <x v="14"/>
    <n v="43"/>
    <n v="2.96"/>
    <n v="27"/>
    <n v="2.86"/>
    <n v="15"/>
    <n v="3"/>
    <x v="0"/>
  </r>
  <r>
    <x v="0"/>
    <s v="行橋市"/>
    <x v="26"/>
    <x v="0"/>
    <n v="0"/>
    <n v="0"/>
    <n v="0"/>
    <n v="0"/>
    <n v="0"/>
    <n v="0"/>
    <x v="0"/>
  </r>
  <r>
    <x v="0"/>
    <s v="行橋市"/>
    <x v="26"/>
    <x v="1"/>
    <n v="201"/>
    <n v="13.46"/>
    <n v="78"/>
    <n v="9.01"/>
    <n v="123"/>
    <n v="20.16"/>
    <x v="0"/>
  </r>
  <r>
    <x v="0"/>
    <s v="行橋市"/>
    <x v="26"/>
    <x v="2"/>
    <n v="70"/>
    <n v="4.6900000000000004"/>
    <n v="27"/>
    <n v="3.12"/>
    <n v="43"/>
    <n v="7.05"/>
    <x v="0"/>
  </r>
  <r>
    <x v="0"/>
    <s v="行橋市"/>
    <x v="26"/>
    <x v="3"/>
    <n v="6"/>
    <n v="0.4"/>
    <n v="1"/>
    <n v="0.12"/>
    <n v="4"/>
    <n v="0.66"/>
    <x v="0"/>
  </r>
  <r>
    <x v="0"/>
    <s v="行橋市"/>
    <x v="26"/>
    <x v="4"/>
    <n v="5"/>
    <n v="0.33"/>
    <n v="1"/>
    <n v="0.12"/>
    <n v="4"/>
    <n v="0.66"/>
    <x v="0"/>
  </r>
  <r>
    <x v="0"/>
    <s v="行橋市"/>
    <x v="26"/>
    <x v="5"/>
    <n v="9"/>
    <n v="0.6"/>
    <n v="2"/>
    <n v="0.23"/>
    <n v="7"/>
    <n v="1.1499999999999999"/>
    <x v="0"/>
  </r>
  <r>
    <x v="0"/>
    <s v="行橋市"/>
    <x v="26"/>
    <x v="6"/>
    <n v="366"/>
    <n v="24.51"/>
    <n v="183"/>
    <n v="21.13"/>
    <n v="183"/>
    <n v="30"/>
    <x v="0"/>
  </r>
  <r>
    <x v="0"/>
    <s v="行橋市"/>
    <x v="26"/>
    <x v="7"/>
    <n v="9"/>
    <n v="0.6"/>
    <n v="1"/>
    <n v="0.12"/>
    <n v="7"/>
    <n v="1.1499999999999999"/>
    <x v="1"/>
  </r>
  <r>
    <x v="0"/>
    <s v="行橋市"/>
    <x v="26"/>
    <x v="8"/>
    <n v="171"/>
    <n v="11.45"/>
    <n v="108"/>
    <n v="12.47"/>
    <n v="63"/>
    <n v="10.33"/>
    <x v="0"/>
  </r>
  <r>
    <x v="0"/>
    <s v="行橋市"/>
    <x v="26"/>
    <x v="9"/>
    <n v="64"/>
    <n v="4.29"/>
    <n v="41"/>
    <n v="4.7300000000000004"/>
    <n v="23"/>
    <n v="3.77"/>
    <x v="0"/>
  </r>
  <r>
    <x v="0"/>
    <s v="行橋市"/>
    <x v="26"/>
    <x v="10"/>
    <n v="194"/>
    <n v="12.99"/>
    <n v="162"/>
    <n v="18.71"/>
    <n v="32"/>
    <n v="5.25"/>
    <x v="0"/>
  </r>
  <r>
    <x v="0"/>
    <s v="行橋市"/>
    <x v="26"/>
    <x v="11"/>
    <n v="191"/>
    <n v="12.79"/>
    <n v="147"/>
    <n v="16.97"/>
    <n v="44"/>
    <n v="7.21"/>
    <x v="0"/>
  </r>
  <r>
    <x v="0"/>
    <s v="行橋市"/>
    <x v="26"/>
    <x v="12"/>
    <n v="66"/>
    <n v="4.42"/>
    <n v="48"/>
    <n v="5.54"/>
    <n v="9"/>
    <n v="1.48"/>
    <x v="0"/>
  </r>
  <r>
    <x v="0"/>
    <s v="行橋市"/>
    <x v="26"/>
    <x v="13"/>
    <n v="91"/>
    <n v="6.1"/>
    <n v="47"/>
    <n v="5.43"/>
    <n v="43"/>
    <n v="7.05"/>
    <x v="0"/>
  </r>
  <r>
    <x v="0"/>
    <s v="行橋市"/>
    <x v="26"/>
    <x v="14"/>
    <n v="50"/>
    <n v="3.35"/>
    <n v="20"/>
    <n v="2.31"/>
    <n v="25"/>
    <n v="4.0999999999999996"/>
    <x v="10"/>
  </r>
  <r>
    <x v="0"/>
    <s v="豊前市"/>
    <x v="27"/>
    <x v="0"/>
    <n v="1"/>
    <n v="0.17"/>
    <n v="0"/>
    <n v="0"/>
    <n v="1"/>
    <n v="0.44"/>
    <x v="0"/>
  </r>
  <r>
    <x v="0"/>
    <s v="豊前市"/>
    <x v="27"/>
    <x v="1"/>
    <n v="82"/>
    <n v="13.67"/>
    <n v="28"/>
    <n v="7.95"/>
    <n v="54"/>
    <n v="23.79"/>
    <x v="0"/>
  </r>
  <r>
    <x v="0"/>
    <s v="豊前市"/>
    <x v="27"/>
    <x v="2"/>
    <n v="40"/>
    <n v="6.67"/>
    <n v="15"/>
    <n v="4.26"/>
    <n v="24"/>
    <n v="10.57"/>
    <x v="1"/>
  </r>
  <r>
    <x v="0"/>
    <s v="豊前市"/>
    <x v="27"/>
    <x v="3"/>
    <n v="4"/>
    <n v="0.67"/>
    <n v="0"/>
    <n v="0"/>
    <n v="4"/>
    <n v="1.76"/>
    <x v="0"/>
  </r>
  <r>
    <x v="0"/>
    <s v="豊前市"/>
    <x v="27"/>
    <x v="4"/>
    <n v="1"/>
    <n v="0.17"/>
    <n v="0"/>
    <n v="0"/>
    <n v="1"/>
    <n v="0.44"/>
    <x v="0"/>
  </r>
  <r>
    <x v="0"/>
    <s v="豊前市"/>
    <x v="27"/>
    <x v="5"/>
    <n v="5"/>
    <n v="0.83"/>
    <n v="0"/>
    <n v="0"/>
    <n v="4"/>
    <n v="1.76"/>
    <x v="1"/>
  </r>
  <r>
    <x v="0"/>
    <s v="豊前市"/>
    <x v="27"/>
    <x v="6"/>
    <n v="158"/>
    <n v="26.33"/>
    <n v="102"/>
    <n v="28.98"/>
    <n v="55"/>
    <n v="24.23"/>
    <x v="1"/>
  </r>
  <r>
    <x v="0"/>
    <s v="豊前市"/>
    <x v="27"/>
    <x v="7"/>
    <n v="6"/>
    <n v="1"/>
    <n v="2"/>
    <n v="0.56999999999999995"/>
    <n v="4"/>
    <n v="1.76"/>
    <x v="0"/>
  </r>
  <r>
    <x v="0"/>
    <s v="豊前市"/>
    <x v="27"/>
    <x v="8"/>
    <n v="26"/>
    <n v="4.33"/>
    <n v="13"/>
    <n v="3.69"/>
    <n v="12"/>
    <n v="5.29"/>
    <x v="0"/>
  </r>
  <r>
    <x v="0"/>
    <s v="豊前市"/>
    <x v="27"/>
    <x v="9"/>
    <n v="19"/>
    <n v="3.17"/>
    <n v="9"/>
    <n v="2.56"/>
    <n v="10"/>
    <n v="4.41"/>
    <x v="0"/>
  </r>
  <r>
    <x v="0"/>
    <s v="豊前市"/>
    <x v="27"/>
    <x v="10"/>
    <n v="79"/>
    <n v="13.17"/>
    <n v="58"/>
    <n v="16.48"/>
    <n v="21"/>
    <n v="9.25"/>
    <x v="0"/>
  </r>
  <r>
    <x v="0"/>
    <s v="豊前市"/>
    <x v="27"/>
    <x v="11"/>
    <n v="87"/>
    <n v="14.5"/>
    <n v="72"/>
    <n v="20.45"/>
    <n v="14"/>
    <n v="6.17"/>
    <x v="0"/>
  </r>
  <r>
    <x v="0"/>
    <s v="豊前市"/>
    <x v="27"/>
    <x v="12"/>
    <n v="34"/>
    <n v="5.67"/>
    <n v="17"/>
    <n v="4.83"/>
    <n v="6"/>
    <n v="2.64"/>
    <x v="0"/>
  </r>
  <r>
    <x v="0"/>
    <s v="豊前市"/>
    <x v="27"/>
    <x v="13"/>
    <n v="31"/>
    <n v="5.17"/>
    <n v="23"/>
    <n v="6.53"/>
    <n v="7"/>
    <n v="3.08"/>
    <x v="0"/>
  </r>
  <r>
    <x v="0"/>
    <s v="豊前市"/>
    <x v="27"/>
    <x v="14"/>
    <n v="27"/>
    <n v="4.5"/>
    <n v="13"/>
    <n v="3.69"/>
    <n v="10"/>
    <n v="4.41"/>
    <x v="0"/>
  </r>
  <r>
    <x v="0"/>
    <s v="中間市"/>
    <x v="28"/>
    <x v="0"/>
    <n v="0"/>
    <n v="0"/>
    <n v="0"/>
    <n v="0"/>
    <n v="0"/>
    <n v="0"/>
    <x v="0"/>
  </r>
  <r>
    <x v="0"/>
    <s v="中間市"/>
    <x v="28"/>
    <x v="1"/>
    <n v="217"/>
    <n v="23.95"/>
    <n v="59"/>
    <n v="11.66"/>
    <n v="158"/>
    <n v="40.619999999999997"/>
    <x v="0"/>
  </r>
  <r>
    <x v="0"/>
    <s v="中間市"/>
    <x v="28"/>
    <x v="2"/>
    <n v="39"/>
    <n v="4.3"/>
    <n v="19"/>
    <n v="3.75"/>
    <n v="19"/>
    <n v="4.88"/>
    <x v="1"/>
  </r>
  <r>
    <x v="0"/>
    <s v="中間市"/>
    <x v="28"/>
    <x v="3"/>
    <n v="3"/>
    <n v="0.33"/>
    <n v="0"/>
    <n v="0"/>
    <n v="1"/>
    <n v="0.26"/>
    <x v="0"/>
  </r>
  <r>
    <x v="0"/>
    <s v="中間市"/>
    <x v="28"/>
    <x v="4"/>
    <n v="4"/>
    <n v="0.44"/>
    <n v="1"/>
    <n v="0.2"/>
    <n v="3"/>
    <n v="0.77"/>
    <x v="0"/>
  </r>
  <r>
    <x v="0"/>
    <s v="中間市"/>
    <x v="28"/>
    <x v="5"/>
    <n v="3"/>
    <n v="0.33"/>
    <n v="3"/>
    <n v="0.59"/>
    <n v="0"/>
    <n v="0"/>
    <x v="0"/>
  </r>
  <r>
    <x v="0"/>
    <s v="中間市"/>
    <x v="28"/>
    <x v="6"/>
    <n v="210"/>
    <n v="23.18"/>
    <n v="121"/>
    <n v="23.91"/>
    <n v="88"/>
    <n v="22.62"/>
    <x v="1"/>
  </r>
  <r>
    <x v="0"/>
    <s v="中間市"/>
    <x v="28"/>
    <x v="7"/>
    <n v="8"/>
    <n v="0.88"/>
    <n v="3"/>
    <n v="0.59"/>
    <n v="5"/>
    <n v="1.29"/>
    <x v="0"/>
  </r>
  <r>
    <x v="0"/>
    <s v="中間市"/>
    <x v="28"/>
    <x v="8"/>
    <n v="43"/>
    <n v="4.75"/>
    <n v="13"/>
    <n v="2.57"/>
    <n v="29"/>
    <n v="7.46"/>
    <x v="0"/>
  </r>
  <r>
    <x v="0"/>
    <s v="中間市"/>
    <x v="28"/>
    <x v="9"/>
    <n v="41"/>
    <n v="4.53"/>
    <n v="26"/>
    <n v="5.14"/>
    <n v="14"/>
    <n v="3.6"/>
    <x v="0"/>
  </r>
  <r>
    <x v="0"/>
    <s v="中間市"/>
    <x v="28"/>
    <x v="10"/>
    <n v="73"/>
    <n v="8.06"/>
    <n v="58"/>
    <n v="11.46"/>
    <n v="15"/>
    <n v="3.86"/>
    <x v="0"/>
  </r>
  <r>
    <x v="0"/>
    <s v="中間市"/>
    <x v="28"/>
    <x v="11"/>
    <n v="149"/>
    <n v="16.45"/>
    <n v="122"/>
    <n v="24.11"/>
    <n v="25"/>
    <n v="6.43"/>
    <x v="1"/>
  </r>
  <r>
    <x v="0"/>
    <s v="中間市"/>
    <x v="28"/>
    <x v="12"/>
    <n v="36"/>
    <n v="3.97"/>
    <n v="29"/>
    <n v="5.73"/>
    <n v="6"/>
    <n v="1.54"/>
    <x v="1"/>
  </r>
  <r>
    <x v="0"/>
    <s v="中間市"/>
    <x v="28"/>
    <x v="13"/>
    <n v="51"/>
    <n v="5.63"/>
    <n v="35"/>
    <n v="6.92"/>
    <n v="16"/>
    <n v="4.1100000000000003"/>
    <x v="0"/>
  </r>
  <r>
    <x v="0"/>
    <s v="中間市"/>
    <x v="28"/>
    <x v="14"/>
    <n v="29"/>
    <n v="3.2"/>
    <n v="17"/>
    <n v="3.36"/>
    <n v="10"/>
    <n v="2.57"/>
    <x v="1"/>
  </r>
  <r>
    <x v="0"/>
    <s v="小郡市"/>
    <x v="29"/>
    <x v="0"/>
    <n v="0"/>
    <n v="0"/>
    <n v="0"/>
    <n v="0"/>
    <n v="0"/>
    <n v="0"/>
    <x v="0"/>
  </r>
  <r>
    <x v="0"/>
    <s v="小郡市"/>
    <x v="29"/>
    <x v="1"/>
    <n v="92"/>
    <n v="10.91"/>
    <n v="35"/>
    <n v="7.13"/>
    <n v="57"/>
    <n v="16.809999999999999"/>
    <x v="0"/>
  </r>
  <r>
    <x v="0"/>
    <s v="小郡市"/>
    <x v="29"/>
    <x v="2"/>
    <n v="24"/>
    <n v="2.85"/>
    <n v="11"/>
    <n v="2.2400000000000002"/>
    <n v="12"/>
    <n v="3.54"/>
    <x v="1"/>
  </r>
  <r>
    <x v="0"/>
    <s v="小郡市"/>
    <x v="29"/>
    <x v="3"/>
    <n v="1"/>
    <n v="0.12"/>
    <n v="0"/>
    <n v="0"/>
    <n v="1"/>
    <n v="0.28999999999999998"/>
    <x v="0"/>
  </r>
  <r>
    <x v="0"/>
    <s v="小郡市"/>
    <x v="29"/>
    <x v="4"/>
    <n v="8"/>
    <n v="0.95"/>
    <n v="0"/>
    <n v="0"/>
    <n v="8"/>
    <n v="2.36"/>
    <x v="0"/>
  </r>
  <r>
    <x v="0"/>
    <s v="小郡市"/>
    <x v="29"/>
    <x v="5"/>
    <n v="5"/>
    <n v="0.59"/>
    <n v="0"/>
    <n v="0"/>
    <n v="5"/>
    <n v="1.47"/>
    <x v="0"/>
  </r>
  <r>
    <x v="0"/>
    <s v="小郡市"/>
    <x v="29"/>
    <x v="6"/>
    <n v="208"/>
    <n v="24.67"/>
    <n v="104"/>
    <n v="21.18"/>
    <n v="103"/>
    <n v="30.38"/>
    <x v="1"/>
  </r>
  <r>
    <x v="0"/>
    <s v="小郡市"/>
    <x v="29"/>
    <x v="7"/>
    <n v="7"/>
    <n v="0.83"/>
    <n v="2"/>
    <n v="0.41"/>
    <n v="5"/>
    <n v="1.47"/>
    <x v="0"/>
  </r>
  <r>
    <x v="0"/>
    <s v="小郡市"/>
    <x v="29"/>
    <x v="8"/>
    <n v="103"/>
    <n v="12.22"/>
    <n v="61"/>
    <n v="12.42"/>
    <n v="42"/>
    <n v="12.39"/>
    <x v="0"/>
  </r>
  <r>
    <x v="0"/>
    <s v="小郡市"/>
    <x v="29"/>
    <x v="9"/>
    <n v="50"/>
    <n v="5.93"/>
    <n v="21"/>
    <n v="4.28"/>
    <n v="28"/>
    <n v="8.26"/>
    <x v="0"/>
  </r>
  <r>
    <x v="0"/>
    <s v="小郡市"/>
    <x v="29"/>
    <x v="10"/>
    <n v="86"/>
    <n v="10.199999999999999"/>
    <n v="75"/>
    <n v="15.27"/>
    <n v="11"/>
    <n v="3.24"/>
    <x v="0"/>
  </r>
  <r>
    <x v="0"/>
    <s v="小郡市"/>
    <x v="29"/>
    <x v="11"/>
    <n v="118"/>
    <n v="14"/>
    <n v="94"/>
    <n v="19.14"/>
    <n v="23"/>
    <n v="6.78"/>
    <x v="0"/>
  </r>
  <r>
    <x v="0"/>
    <s v="小郡市"/>
    <x v="29"/>
    <x v="12"/>
    <n v="41"/>
    <n v="4.8600000000000003"/>
    <n v="33"/>
    <n v="6.72"/>
    <n v="8"/>
    <n v="2.36"/>
    <x v="0"/>
  </r>
  <r>
    <x v="0"/>
    <s v="小郡市"/>
    <x v="29"/>
    <x v="13"/>
    <n v="52"/>
    <n v="6.17"/>
    <n v="31"/>
    <n v="6.31"/>
    <n v="21"/>
    <n v="6.19"/>
    <x v="0"/>
  </r>
  <r>
    <x v="0"/>
    <s v="小郡市"/>
    <x v="29"/>
    <x v="14"/>
    <n v="48"/>
    <n v="5.69"/>
    <n v="24"/>
    <n v="4.8899999999999997"/>
    <n v="15"/>
    <n v="4.42"/>
    <x v="0"/>
  </r>
  <r>
    <x v="0"/>
    <s v="筑紫野市"/>
    <x v="30"/>
    <x v="0"/>
    <n v="0"/>
    <n v="0"/>
    <n v="0"/>
    <n v="0"/>
    <n v="0"/>
    <n v="0"/>
    <x v="0"/>
  </r>
  <r>
    <x v="0"/>
    <s v="筑紫野市"/>
    <x v="30"/>
    <x v="1"/>
    <n v="256"/>
    <n v="14.69"/>
    <n v="67"/>
    <n v="8.39"/>
    <n v="189"/>
    <n v="20.37"/>
    <x v="0"/>
  </r>
  <r>
    <x v="0"/>
    <s v="筑紫野市"/>
    <x v="30"/>
    <x v="2"/>
    <n v="56"/>
    <n v="3.21"/>
    <n v="21"/>
    <n v="2.63"/>
    <n v="35"/>
    <n v="3.77"/>
    <x v="0"/>
  </r>
  <r>
    <x v="0"/>
    <s v="筑紫野市"/>
    <x v="30"/>
    <x v="3"/>
    <n v="7"/>
    <n v="0.4"/>
    <n v="0"/>
    <n v="0"/>
    <n v="6"/>
    <n v="0.65"/>
    <x v="0"/>
  </r>
  <r>
    <x v="0"/>
    <s v="筑紫野市"/>
    <x v="30"/>
    <x v="4"/>
    <n v="24"/>
    <n v="1.38"/>
    <n v="0"/>
    <n v="0"/>
    <n v="24"/>
    <n v="2.59"/>
    <x v="0"/>
  </r>
  <r>
    <x v="0"/>
    <s v="筑紫野市"/>
    <x v="30"/>
    <x v="5"/>
    <n v="13"/>
    <n v="0.75"/>
    <n v="5"/>
    <n v="0.63"/>
    <n v="7"/>
    <n v="0.75"/>
    <x v="1"/>
  </r>
  <r>
    <x v="0"/>
    <s v="筑紫野市"/>
    <x v="30"/>
    <x v="6"/>
    <n v="446"/>
    <n v="25.59"/>
    <n v="158"/>
    <n v="19.77"/>
    <n v="288"/>
    <n v="31.03"/>
    <x v="0"/>
  </r>
  <r>
    <x v="0"/>
    <s v="筑紫野市"/>
    <x v="30"/>
    <x v="7"/>
    <n v="11"/>
    <n v="0.63"/>
    <n v="2"/>
    <n v="0.25"/>
    <n v="9"/>
    <n v="0.97"/>
    <x v="0"/>
  </r>
  <r>
    <x v="0"/>
    <s v="筑紫野市"/>
    <x v="30"/>
    <x v="8"/>
    <n v="190"/>
    <n v="10.9"/>
    <n v="55"/>
    <n v="6.88"/>
    <n v="135"/>
    <n v="14.55"/>
    <x v="0"/>
  </r>
  <r>
    <x v="0"/>
    <s v="筑紫野市"/>
    <x v="30"/>
    <x v="9"/>
    <n v="115"/>
    <n v="6.6"/>
    <n v="68"/>
    <n v="8.51"/>
    <n v="47"/>
    <n v="5.0599999999999996"/>
    <x v="0"/>
  </r>
  <r>
    <x v="0"/>
    <s v="筑紫野市"/>
    <x v="30"/>
    <x v="10"/>
    <n v="197"/>
    <n v="11.3"/>
    <n v="165"/>
    <n v="20.65"/>
    <n v="32"/>
    <n v="3.45"/>
    <x v="0"/>
  </r>
  <r>
    <x v="0"/>
    <s v="筑紫野市"/>
    <x v="30"/>
    <x v="11"/>
    <n v="228"/>
    <n v="13.08"/>
    <n v="160"/>
    <n v="20.03"/>
    <n v="68"/>
    <n v="7.33"/>
    <x v="0"/>
  </r>
  <r>
    <x v="0"/>
    <s v="筑紫野市"/>
    <x v="30"/>
    <x v="12"/>
    <n v="60"/>
    <n v="3.44"/>
    <n v="38"/>
    <n v="4.76"/>
    <n v="20"/>
    <n v="2.16"/>
    <x v="1"/>
  </r>
  <r>
    <x v="0"/>
    <s v="筑紫野市"/>
    <x v="30"/>
    <x v="13"/>
    <n v="78"/>
    <n v="4.4800000000000004"/>
    <n v="49"/>
    <n v="6.13"/>
    <n v="24"/>
    <n v="2.59"/>
    <x v="0"/>
  </r>
  <r>
    <x v="0"/>
    <s v="筑紫野市"/>
    <x v="30"/>
    <x v="14"/>
    <n v="62"/>
    <n v="3.56"/>
    <n v="11"/>
    <n v="1.38"/>
    <n v="44"/>
    <n v="4.74"/>
    <x v="1"/>
  </r>
  <r>
    <x v="0"/>
    <s v="春日市"/>
    <x v="31"/>
    <x v="0"/>
    <n v="0"/>
    <n v="0"/>
    <n v="0"/>
    <n v="0"/>
    <n v="0"/>
    <n v="0"/>
    <x v="0"/>
  </r>
  <r>
    <x v="0"/>
    <s v="春日市"/>
    <x v="31"/>
    <x v="1"/>
    <n v="299"/>
    <n v="15.33"/>
    <n v="67"/>
    <n v="6.99"/>
    <n v="232"/>
    <n v="24.04"/>
    <x v="0"/>
  </r>
  <r>
    <x v="0"/>
    <s v="春日市"/>
    <x v="31"/>
    <x v="2"/>
    <n v="67"/>
    <n v="3.44"/>
    <n v="26"/>
    <n v="2.71"/>
    <n v="41"/>
    <n v="4.25"/>
    <x v="0"/>
  </r>
  <r>
    <x v="0"/>
    <s v="春日市"/>
    <x v="31"/>
    <x v="3"/>
    <n v="0"/>
    <n v="0"/>
    <n v="0"/>
    <n v="0"/>
    <n v="0"/>
    <n v="0"/>
    <x v="0"/>
  </r>
  <r>
    <x v="0"/>
    <s v="春日市"/>
    <x v="31"/>
    <x v="4"/>
    <n v="20"/>
    <n v="1.03"/>
    <n v="1"/>
    <n v="0.1"/>
    <n v="19"/>
    <n v="1.97"/>
    <x v="0"/>
  </r>
  <r>
    <x v="0"/>
    <s v="春日市"/>
    <x v="31"/>
    <x v="5"/>
    <n v="13"/>
    <n v="0.67"/>
    <n v="8"/>
    <n v="0.84"/>
    <n v="5"/>
    <n v="0.52"/>
    <x v="0"/>
  </r>
  <r>
    <x v="0"/>
    <s v="春日市"/>
    <x v="31"/>
    <x v="6"/>
    <n v="451"/>
    <n v="23.13"/>
    <n v="177"/>
    <n v="18.48"/>
    <n v="269"/>
    <n v="27.88"/>
    <x v="11"/>
  </r>
  <r>
    <x v="0"/>
    <s v="春日市"/>
    <x v="31"/>
    <x v="7"/>
    <n v="19"/>
    <n v="0.97"/>
    <n v="3"/>
    <n v="0.31"/>
    <n v="16"/>
    <n v="1.66"/>
    <x v="0"/>
  </r>
  <r>
    <x v="0"/>
    <s v="春日市"/>
    <x v="31"/>
    <x v="8"/>
    <n v="230"/>
    <n v="11.79"/>
    <n v="91"/>
    <n v="9.5"/>
    <n v="138"/>
    <n v="14.3"/>
    <x v="0"/>
  </r>
  <r>
    <x v="0"/>
    <s v="春日市"/>
    <x v="31"/>
    <x v="9"/>
    <n v="112"/>
    <n v="5.74"/>
    <n v="47"/>
    <n v="4.91"/>
    <n v="64"/>
    <n v="6.63"/>
    <x v="1"/>
  </r>
  <r>
    <x v="0"/>
    <s v="春日市"/>
    <x v="31"/>
    <x v="10"/>
    <n v="212"/>
    <n v="10.87"/>
    <n v="188"/>
    <n v="19.62"/>
    <n v="24"/>
    <n v="2.4900000000000002"/>
    <x v="0"/>
  </r>
  <r>
    <x v="0"/>
    <s v="春日市"/>
    <x v="31"/>
    <x v="11"/>
    <n v="276"/>
    <n v="14.15"/>
    <n v="206"/>
    <n v="21.5"/>
    <n v="70"/>
    <n v="7.25"/>
    <x v="0"/>
  </r>
  <r>
    <x v="0"/>
    <s v="春日市"/>
    <x v="31"/>
    <x v="12"/>
    <n v="104"/>
    <n v="5.33"/>
    <n v="69"/>
    <n v="7.2"/>
    <n v="21"/>
    <n v="2.1800000000000002"/>
    <x v="7"/>
  </r>
  <r>
    <x v="0"/>
    <s v="春日市"/>
    <x v="31"/>
    <x v="13"/>
    <n v="82"/>
    <n v="4.21"/>
    <n v="53"/>
    <n v="5.53"/>
    <n v="29"/>
    <n v="3.01"/>
    <x v="0"/>
  </r>
  <r>
    <x v="0"/>
    <s v="春日市"/>
    <x v="31"/>
    <x v="14"/>
    <n v="65"/>
    <n v="3.33"/>
    <n v="22"/>
    <n v="2.2999999999999998"/>
    <n v="37"/>
    <n v="3.83"/>
    <x v="14"/>
  </r>
  <r>
    <x v="0"/>
    <s v="大野城市"/>
    <x v="32"/>
    <x v="0"/>
    <n v="0"/>
    <n v="0"/>
    <n v="0"/>
    <n v="0"/>
    <n v="0"/>
    <n v="0"/>
    <x v="0"/>
  </r>
  <r>
    <x v="0"/>
    <s v="大野城市"/>
    <x v="32"/>
    <x v="1"/>
    <n v="365"/>
    <n v="16.59"/>
    <n v="67"/>
    <n v="7.66"/>
    <n v="298"/>
    <n v="22.98"/>
    <x v="0"/>
  </r>
  <r>
    <x v="0"/>
    <s v="大野城市"/>
    <x v="32"/>
    <x v="2"/>
    <n v="214"/>
    <n v="9.73"/>
    <n v="59"/>
    <n v="6.74"/>
    <n v="155"/>
    <n v="11.95"/>
    <x v="0"/>
  </r>
  <r>
    <x v="0"/>
    <s v="大野城市"/>
    <x v="32"/>
    <x v="3"/>
    <n v="1"/>
    <n v="0.05"/>
    <n v="0"/>
    <n v="0"/>
    <n v="0"/>
    <n v="0"/>
    <x v="0"/>
  </r>
  <r>
    <x v="0"/>
    <s v="大野城市"/>
    <x v="32"/>
    <x v="4"/>
    <n v="19"/>
    <n v="0.86"/>
    <n v="0"/>
    <n v="0"/>
    <n v="19"/>
    <n v="1.46"/>
    <x v="0"/>
  </r>
  <r>
    <x v="0"/>
    <s v="大野城市"/>
    <x v="32"/>
    <x v="5"/>
    <n v="22"/>
    <n v="1"/>
    <n v="13"/>
    <n v="1.49"/>
    <n v="9"/>
    <n v="0.69"/>
    <x v="0"/>
  </r>
  <r>
    <x v="0"/>
    <s v="大野城市"/>
    <x v="32"/>
    <x v="6"/>
    <n v="534"/>
    <n v="24.27"/>
    <n v="173"/>
    <n v="19.77"/>
    <n v="360"/>
    <n v="27.76"/>
    <x v="1"/>
  </r>
  <r>
    <x v="0"/>
    <s v="大野城市"/>
    <x v="32"/>
    <x v="7"/>
    <n v="7"/>
    <n v="0.32"/>
    <n v="3"/>
    <n v="0.34"/>
    <n v="4"/>
    <n v="0.31"/>
    <x v="0"/>
  </r>
  <r>
    <x v="0"/>
    <s v="大野城市"/>
    <x v="32"/>
    <x v="8"/>
    <n v="281"/>
    <n v="12.77"/>
    <n v="119"/>
    <n v="13.6"/>
    <n v="162"/>
    <n v="12.49"/>
    <x v="0"/>
  </r>
  <r>
    <x v="0"/>
    <s v="大野城市"/>
    <x v="32"/>
    <x v="9"/>
    <n v="97"/>
    <n v="4.41"/>
    <n v="34"/>
    <n v="3.89"/>
    <n v="63"/>
    <n v="4.8600000000000003"/>
    <x v="0"/>
  </r>
  <r>
    <x v="0"/>
    <s v="大野城市"/>
    <x v="32"/>
    <x v="10"/>
    <n v="137"/>
    <n v="6.23"/>
    <n v="106"/>
    <n v="12.11"/>
    <n v="31"/>
    <n v="2.39"/>
    <x v="0"/>
  </r>
  <r>
    <x v="0"/>
    <s v="大野城市"/>
    <x v="32"/>
    <x v="11"/>
    <n v="224"/>
    <n v="10.18"/>
    <n v="150"/>
    <n v="17.14"/>
    <n v="74"/>
    <n v="5.71"/>
    <x v="0"/>
  </r>
  <r>
    <x v="0"/>
    <s v="大野城市"/>
    <x v="32"/>
    <x v="12"/>
    <n v="87"/>
    <n v="3.95"/>
    <n v="46"/>
    <n v="5.26"/>
    <n v="16"/>
    <n v="1.23"/>
    <x v="18"/>
  </r>
  <r>
    <x v="0"/>
    <s v="大野城市"/>
    <x v="32"/>
    <x v="13"/>
    <n v="103"/>
    <n v="4.68"/>
    <n v="64"/>
    <n v="7.31"/>
    <n v="39"/>
    <n v="3.01"/>
    <x v="0"/>
  </r>
  <r>
    <x v="0"/>
    <s v="大野城市"/>
    <x v="32"/>
    <x v="14"/>
    <n v="109"/>
    <n v="4.95"/>
    <n v="41"/>
    <n v="4.6900000000000004"/>
    <n v="67"/>
    <n v="5.17"/>
    <x v="0"/>
  </r>
  <r>
    <x v="0"/>
    <s v="宗像市"/>
    <x v="33"/>
    <x v="0"/>
    <n v="1"/>
    <n v="7.0000000000000007E-2"/>
    <n v="0"/>
    <n v="0"/>
    <n v="1"/>
    <n v="0.16"/>
    <x v="0"/>
  </r>
  <r>
    <x v="0"/>
    <s v="宗像市"/>
    <x v="33"/>
    <x v="1"/>
    <n v="195"/>
    <n v="14.09"/>
    <n v="43"/>
    <n v="5.8"/>
    <n v="152"/>
    <n v="23.79"/>
    <x v="0"/>
  </r>
  <r>
    <x v="0"/>
    <s v="宗像市"/>
    <x v="33"/>
    <x v="2"/>
    <n v="67"/>
    <n v="4.84"/>
    <n v="35"/>
    <n v="4.72"/>
    <n v="32"/>
    <n v="5.01"/>
    <x v="0"/>
  </r>
  <r>
    <x v="0"/>
    <s v="宗像市"/>
    <x v="33"/>
    <x v="3"/>
    <n v="6"/>
    <n v="0.43"/>
    <n v="0"/>
    <n v="0"/>
    <n v="6"/>
    <n v="0.94"/>
    <x v="0"/>
  </r>
  <r>
    <x v="0"/>
    <s v="宗像市"/>
    <x v="33"/>
    <x v="4"/>
    <n v="25"/>
    <n v="1.81"/>
    <n v="0"/>
    <n v="0"/>
    <n v="25"/>
    <n v="3.91"/>
    <x v="0"/>
  </r>
  <r>
    <x v="0"/>
    <s v="宗像市"/>
    <x v="33"/>
    <x v="5"/>
    <n v="7"/>
    <n v="0.51"/>
    <n v="1"/>
    <n v="0.13"/>
    <n v="6"/>
    <n v="0.94"/>
    <x v="0"/>
  </r>
  <r>
    <x v="0"/>
    <s v="宗像市"/>
    <x v="33"/>
    <x v="6"/>
    <n v="307"/>
    <n v="22.18"/>
    <n v="175"/>
    <n v="23.62"/>
    <n v="132"/>
    <n v="20.66"/>
    <x v="0"/>
  </r>
  <r>
    <x v="0"/>
    <s v="宗像市"/>
    <x v="33"/>
    <x v="7"/>
    <n v="6"/>
    <n v="0.43"/>
    <n v="2"/>
    <n v="0.27"/>
    <n v="4"/>
    <n v="0.63"/>
    <x v="0"/>
  </r>
  <r>
    <x v="0"/>
    <s v="宗像市"/>
    <x v="33"/>
    <x v="8"/>
    <n v="115"/>
    <n v="8.31"/>
    <n v="24"/>
    <n v="3.24"/>
    <n v="91"/>
    <n v="14.24"/>
    <x v="0"/>
  </r>
  <r>
    <x v="0"/>
    <s v="宗像市"/>
    <x v="33"/>
    <x v="9"/>
    <n v="75"/>
    <n v="5.42"/>
    <n v="39"/>
    <n v="5.26"/>
    <n v="35"/>
    <n v="5.48"/>
    <x v="1"/>
  </r>
  <r>
    <x v="0"/>
    <s v="宗像市"/>
    <x v="33"/>
    <x v="10"/>
    <n v="170"/>
    <n v="12.28"/>
    <n v="142"/>
    <n v="19.16"/>
    <n v="28"/>
    <n v="4.38"/>
    <x v="0"/>
  </r>
  <r>
    <x v="0"/>
    <s v="宗像市"/>
    <x v="33"/>
    <x v="11"/>
    <n v="201"/>
    <n v="14.52"/>
    <n v="159"/>
    <n v="21.46"/>
    <n v="42"/>
    <n v="6.57"/>
    <x v="0"/>
  </r>
  <r>
    <x v="0"/>
    <s v="宗像市"/>
    <x v="33"/>
    <x v="12"/>
    <n v="52"/>
    <n v="3.76"/>
    <n v="34"/>
    <n v="4.59"/>
    <n v="17"/>
    <n v="2.66"/>
    <x v="1"/>
  </r>
  <r>
    <x v="0"/>
    <s v="宗像市"/>
    <x v="33"/>
    <x v="13"/>
    <n v="94"/>
    <n v="6.79"/>
    <n v="55"/>
    <n v="7.42"/>
    <n v="39"/>
    <n v="6.1"/>
    <x v="0"/>
  </r>
  <r>
    <x v="0"/>
    <s v="宗像市"/>
    <x v="33"/>
    <x v="14"/>
    <n v="63"/>
    <n v="4.55"/>
    <n v="32"/>
    <n v="4.32"/>
    <n v="29"/>
    <n v="4.54"/>
    <x v="0"/>
  </r>
  <r>
    <x v="0"/>
    <s v="太宰府市"/>
    <x v="34"/>
    <x v="0"/>
    <n v="0"/>
    <n v="0"/>
    <n v="0"/>
    <n v="0"/>
    <n v="0"/>
    <n v="0"/>
    <x v="0"/>
  </r>
  <r>
    <x v="0"/>
    <s v="太宰府市"/>
    <x v="34"/>
    <x v="1"/>
    <n v="184"/>
    <n v="16.559999999999999"/>
    <n v="33"/>
    <n v="7.57"/>
    <n v="151"/>
    <n v="22.6"/>
    <x v="0"/>
  </r>
  <r>
    <x v="0"/>
    <s v="太宰府市"/>
    <x v="34"/>
    <x v="2"/>
    <n v="55"/>
    <n v="4.95"/>
    <n v="14"/>
    <n v="3.21"/>
    <n v="41"/>
    <n v="6.14"/>
    <x v="0"/>
  </r>
  <r>
    <x v="0"/>
    <s v="太宰府市"/>
    <x v="34"/>
    <x v="3"/>
    <n v="1"/>
    <n v="0.09"/>
    <n v="0"/>
    <n v="0"/>
    <n v="1"/>
    <n v="0.15"/>
    <x v="0"/>
  </r>
  <r>
    <x v="0"/>
    <s v="太宰府市"/>
    <x v="34"/>
    <x v="4"/>
    <n v="21"/>
    <n v="1.89"/>
    <n v="2"/>
    <n v="0.46"/>
    <n v="19"/>
    <n v="2.84"/>
    <x v="0"/>
  </r>
  <r>
    <x v="0"/>
    <s v="太宰府市"/>
    <x v="34"/>
    <x v="5"/>
    <n v="11"/>
    <n v="0.99"/>
    <n v="7"/>
    <n v="1.61"/>
    <n v="4"/>
    <n v="0.6"/>
    <x v="0"/>
  </r>
  <r>
    <x v="0"/>
    <s v="太宰府市"/>
    <x v="34"/>
    <x v="6"/>
    <n v="303"/>
    <n v="27.27"/>
    <n v="113"/>
    <n v="25.92"/>
    <n v="189"/>
    <n v="28.29"/>
    <x v="1"/>
  </r>
  <r>
    <x v="0"/>
    <s v="太宰府市"/>
    <x v="34"/>
    <x v="7"/>
    <n v="8"/>
    <n v="0.72"/>
    <n v="1"/>
    <n v="0.23"/>
    <n v="7"/>
    <n v="1.05"/>
    <x v="0"/>
  </r>
  <r>
    <x v="0"/>
    <s v="太宰府市"/>
    <x v="34"/>
    <x v="8"/>
    <n v="109"/>
    <n v="9.81"/>
    <n v="27"/>
    <n v="6.19"/>
    <n v="82"/>
    <n v="12.28"/>
    <x v="0"/>
  </r>
  <r>
    <x v="0"/>
    <s v="太宰府市"/>
    <x v="34"/>
    <x v="9"/>
    <n v="67"/>
    <n v="6.03"/>
    <n v="26"/>
    <n v="5.96"/>
    <n v="41"/>
    <n v="6.14"/>
    <x v="0"/>
  </r>
  <r>
    <x v="0"/>
    <s v="太宰府市"/>
    <x v="34"/>
    <x v="10"/>
    <n v="68"/>
    <n v="6.12"/>
    <n v="55"/>
    <n v="12.61"/>
    <n v="13"/>
    <n v="1.95"/>
    <x v="0"/>
  </r>
  <r>
    <x v="0"/>
    <s v="太宰府市"/>
    <x v="34"/>
    <x v="11"/>
    <n v="125"/>
    <n v="11.25"/>
    <n v="83"/>
    <n v="19.04"/>
    <n v="42"/>
    <n v="6.29"/>
    <x v="0"/>
  </r>
  <r>
    <x v="0"/>
    <s v="太宰府市"/>
    <x v="34"/>
    <x v="12"/>
    <n v="39"/>
    <n v="3.51"/>
    <n v="27"/>
    <n v="6.19"/>
    <n v="9"/>
    <n v="1.35"/>
    <x v="3"/>
  </r>
  <r>
    <x v="0"/>
    <s v="太宰府市"/>
    <x v="34"/>
    <x v="13"/>
    <n v="64"/>
    <n v="5.76"/>
    <n v="30"/>
    <n v="6.88"/>
    <n v="33"/>
    <n v="4.9400000000000004"/>
    <x v="0"/>
  </r>
  <r>
    <x v="0"/>
    <s v="太宰府市"/>
    <x v="34"/>
    <x v="14"/>
    <n v="56"/>
    <n v="5.04"/>
    <n v="18"/>
    <n v="4.13"/>
    <n v="36"/>
    <n v="5.39"/>
    <x v="1"/>
  </r>
  <r>
    <x v="0"/>
    <s v="古賀市"/>
    <x v="35"/>
    <x v="0"/>
    <n v="0"/>
    <n v="0"/>
    <n v="0"/>
    <n v="0"/>
    <n v="0"/>
    <n v="0"/>
    <x v="0"/>
  </r>
  <r>
    <x v="0"/>
    <s v="古賀市"/>
    <x v="35"/>
    <x v="1"/>
    <n v="169"/>
    <n v="15.68"/>
    <n v="55"/>
    <n v="10.17"/>
    <n v="114"/>
    <n v="21.43"/>
    <x v="0"/>
  </r>
  <r>
    <x v="0"/>
    <s v="古賀市"/>
    <x v="35"/>
    <x v="2"/>
    <n v="69"/>
    <n v="6.4"/>
    <n v="16"/>
    <n v="2.96"/>
    <n v="53"/>
    <n v="9.9600000000000009"/>
    <x v="0"/>
  </r>
  <r>
    <x v="0"/>
    <s v="古賀市"/>
    <x v="35"/>
    <x v="3"/>
    <n v="1"/>
    <n v="0.09"/>
    <n v="0"/>
    <n v="0"/>
    <n v="1"/>
    <n v="0.19"/>
    <x v="0"/>
  </r>
  <r>
    <x v="0"/>
    <s v="古賀市"/>
    <x v="35"/>
    <x v="4"/>
    <n v="12"/>
    <n v="1.1100000000000001"/>
    <n v="0"/>
    <n v="0"/>
    <n v="12"/>
    <n v="2.2599999999999998"/>
    <x v="0"/>
  </r>
  <r>
    <x v="0"/>
    <s v="古賀市"/>
    <x v="35"/>
    <x v="5"/>
    <n v="20"/>
    <n v="1.86"/>
    <n v="5"/>
    <n v="0.92"/>
    <n v="15"/>
    <n v="2.82"/>
    <x v="0"/>
  </r>
  <r>
    <x v="0"/>
    <s v="古賀市"/>
    <x v="35"/>
    <x v="6"/>
    <n v="259"/>
    <n v="24.03"/>
    <n v="110"/>
    <n v="20.329999999999998"/>
    <n v="149"/>
    <n v="28.01"/>
    <x v="0"/>
  </r>
  <r>
    <x v="0"/>
    <s v="古賀市"/>
    <x v="35"/>
    <x v="7"/>
    <n v="7"/>
    <n v="0.65"/>
    <n v="3"/>
    <n v="0.55000000000000004"/>
    <n v="4"/>
    <n v="0.75"/>
    <x v="0"/>
  </r>
  <r>
    <x v="0"/>
    <s v="古賀市"/>
    <x v="35"/>
    <x v="8"/>
    <n v="80"/>
    <n v="7.42"/>
    <n v="43"/>
    <n v="7.95"/>
    <n v="37"/>
    <n v="6.95"/>
    <x v="0"/>
  </r>
  <r>
    <x v="0"/>
    <s v="古賀市"/>
    <x v="35"/>
    <x v="9"/>
    <n v="54"/>
    <n v="5.01"/>
    <n v="23"/>
    <n v="4.25"/>
    <n v="31"/>
    <n v="5.83"/>
    <x v="0"/>
  </r>
  <r>
    <x v="0"/>
    <s v="古賀市"/>
    <x v="35"/>
    <x v="10"/>
    <n v="130"/>
    <n v="12.06"/>
    <n v="92"/>
    <n v="17.010000000000002"/>
    <n v="37"/>
    <n v="6.95"/>
    <x v="0"/>
  </r>
  <r>
    <x v="0"/>
    <s v="古賀市"/>
    <x v="35"/>
    <x v="11"/>
    <n v="128"/>
    <n v="11.87"/>
    <n v="104"/>
    <n v="19.22"/>
    <n v="23"/>
    <n v="4.32"/>
    <x v="0"/>
  </r>
  <r>
    <x v="0"/>
    <s v="古賀市"/>
    <x v="35"/>
    <x v="12"/>
    <n v="41"/>
    <n v="3.8"/>
    <n v="30"/>
    <n v="5.55"/>
    <n v="9"/>
    <n v="1.69"/>
    <x v="0"/>
  </r>
  <r>
    <x v="0"/>
    <s v="古賀市"/>
    <x v="35"/>
    <x v="13"/>
    <n v="55"/>
    <n v="5.0999999999999996"/>
    <n v="40"/>
    <n v="7.39"/>
    <n v="14"/>
    <n v="2.63"/>
    <x v="0"/>
  </r>
  <r>
    <x v="0"/>
    <s v="古賀市"/>
    <x v="35"/>
    <x v="14"/>
    <n v="53"/>
    <n v="4.92"/>
    <n v="20"/>
    <n v="3.7"/>
    <n v="33"/>
    <n v="6.2"/>
    <x v="0"/>
  </r>
  <r>
    <x v="0"/>
    <s v="福津市"/>
    <x v="36"/>
    <x v="0"/>
    <n v="0"/>
    <n v="0"/>
    <n v="0"/>
    <n v="0"/>
    <n v="0"/>
    <n v="0"/>
    <x v="0"/>
  </r>
  <r>
    <x v="0"/>
    <s v="福津市"/>
    <x v="36"/>
    <x v="1"/>
    <n v="169"/>
    <n v="15.79"/>
    <n v="58"/>
    <n v="9.83"/>
    <n v="111"/>
    <n v="23.42"/>
    <x v="0"/>
  </r>
  <r>
    <x v="0"/>
    <s v="福津市"/>
    <x v="36"/>
    <x v="2"/>
    <n v="63"/>
    <n v="5.89"/>
    <n v="36"/>
    <n v="6.1"/>
    <n v="27"/>
    <n v="5.7"/>
    <x v="0"/>
  </r>
  <r>
    <x v="0"/>
    <s v="福津市"/>
    <x v="36"/>
    <x v="3"/>
    <n v="1"/>
    <n v="0.09"/>
    <n v="0"/>
    <n v="0"/>
    <n v="1"/>
    <n v="0.21"/>
    <x v="0"/>
  </r>
  <r>
    <x v="0"/>
    <s v="福津市"/>
    <x v="36"/>
    <x v="4"/>
    <n v="10"/>
    <n v="0.93"/>
    <n v="1"/>
    <n v="0.17"/>
    <n v="9"/>
    <n v="1.9"/>
    <x v="0"/>
  </r>
  <r>
    <x v="0"/>
    <s v="福津市"/>
    <x v="36"/>
    <x v="5"/>
    <n v="2"/>
    <n v="0.19"/>
    <n v="0"/>
    <n v="0"/>
    <n v="2"/>
    <n v="0.42"/>
    <x v="0"/>
  </r>
  <r>
    <x v="0"/>
    <s v="福津市"/>
    <x v="36"/>
    <x v="6"/>
    <n v="252"/>
    <n v="23.55"/>
    <n v="127"/>
    <n v="21.53"/>
    <n v="125"/>
    <n v="26.37"/>
    <x v="0"/>
  </r>
  <r>
    <x v="0"/>
    <s v="福津市"/>
    <x v="36"/>
    <x v="7"/>
    <n v="9"/>
    <n v="0.84"/>
    <n v="2"/>
    <n v="0.34"/>
    <n v="7"/>
    <n v="1.48"/>
    <x v="0"/>
  </r>
  <r>
    <x v="0"/>
    <s v="福津市"/>
    <x v="36"/>
    <x v="8"/>
    <n v="75"/>
    <n v="7.01"/>
    <n v="13"/>
    <n v="2.2000000000000002"/>
    <n v="61"/>
    <n v="12.87"/>
    <x v="1"/>
  </r>
  <r>
    <x v="0"/>
    <s v="福津市"/>
    <x v="36"/>
    <x v="9"/>
    <n v="61"/>
    <n v="5.7"/>
    <n v="35"/>
    <n v="5.93"/>
    <n v="26"/>
    <n v="5.49"/>
    <x v="0"/>
  </r>
  <r>
    <x v="0"/>
    <s v="福津市"/>
    <x v="36"/>
    <x v="10"/>
    <n v="123"/>
    <n v="11.5"/>
    <n v="99"/>
    <n v="16.78"/>
    <n v="23"/>
    <n v="4.8499999999999996"/>
    <x v="0"/>
  </r>
  <r>
    <x v="0"/>
    <s v="福津市"/>
    <x v="36"/>
    <x v="11"/>
    <n v="153"/>
    <n v="14.3"/>
    <n v="111"/>
    <n v="18.809999999999999"/>
    <n v="42"/>
    <n v="8.86"/>
    <x v="0"/>
  </r>
  <r>
    <x v="0"/>
    <s v="福津市"/>
    <x v="36"/>
    <x v="12"/>
    <n v="48"/>
    <n v="4.49"/>
    <n v="38"/>
    <n v="6.44"/>
    <n v="8"/>
    <n v="1.69"/>
    <x v="0"/>
  </r>
  <r>
    <x v="0"/>
    <s v="福津市"/>
    <x v="36"/>
    <x v="13"/>
    <n v="69"/>
    <n v="6.45"/>
    <n v="49"/>
    <n v="8.31"/>
    <n v="19"/>
    <n v="4.01"/>
    <x v="0"/>
  </r>
  <r>
    <x v="0"/>
    <s v="福津市"/>
    <x v="36"/>
    <x v="14"/>
    <n v="35"/>
    <n v="3.27"/>
    <n v="21"/>
    <n v="3.56"/>
    <n v="13"/>
    <n v="2.74"/>
    <x v="0"/>
  </r>
  <r>
    <x v="0"/>
    <s v="うきは市"/>
    <x v="37"/>
    <x v="0"/>
    <n v="1"/>
    <n v="0.15"/>
    <n v="1"/>
    <n v="0.23"/>
    <n v="0"/>
    <n v="0"/>
    <x v="0"/>
  </r>
  <r>
    <x v="0"/>
    <s v="うきは市"/>
    <x v="37"/>
    <x v="1"/>
    <n v="105"/>
    <n v="15.72"/>
    <n v="46"/>
    <n v="10.5"/>
    <n v="59"/>
    <n v="26.7"/>
    <x v="0"/>
  </r>
  <r>
    <x v="0"/>
    <s v="うきは市"/>
    <x v="37"/>
    <x v="2"/>
    <n v="69"/>
    <n v="10.33"/>
    <n v="43"/>
    <n v="9.82"/>
    <n v="26"/>
    <n v="11.76"/>
    <x v="0"/>
  </r>
  <r>
    <x v="0"/>
    <s v="うきは市"/>
    <x v="37"/>
    <x v="3"/>
    <n v="0"/>
    <n v="0"/>
    <n v="0"/>
    <n v="0"/>
    <n v="0"/>
    <n v="0"/>
    <x v="0"/>
  </r>
  <r>
    <x v="0"/>
    <s v="うきは市"/>
    <x v="37"/>
    <x v="4"/>
    <n v="2"/>
    <n v="0.3"/>
    <n v="0"/>
    <n v="0"/>
    <n v="2"/>
    <n v="0.9"/>
    <x v="0"/>
  </r>
  <r>
    <x v="0"/>
    <s v="うきは市"/>
    <x v="37"/>
    <x v="5"/>
    <n v="7"/>
    <n v="1.05"/>
    <n v="2"/>
    <n v="0.46"/>
    <n v="5"/>
    <n v="2.2599999999999998"/>
    <x v="0"/>
  </r>
  <r>
    <x v="0"/>
    <s v="うきは市"/>
    <x v="37"/>
    <x v="6"/>
    <n v="199"/>
    <n v="29.79"/>
    <n v="135"/>
    <n v="30.82"/>
    <n v="64"/>
    <n v="28.96"/>
    <x v="0"/>
  </r>
  <r>
    <x v="0"/>
    <s v="うきは市"/>
    <x v="37"/>
    <x v="7"/>
    <n v="4"/>
    <n v="0.6"/>
    <n v="2"/>
    <n v="0.46"/>
    <n v="2"/>
    <n v="0.9"/>
    <x v="0"/>
  </r>
  <r>
    <x v="0"/>
    <s v="うきは市"/>
    <x v="37"/>
    <x v="8"/>
    <n v="30"/>
    <n v="4.49"/>
    <n v="8"/>
    <n v="1.83"/>
    <n v="22"/>
    <n v="9.9499999999999993"/>
    <x v="0"/>
  </r>
  <r>
    <x v="0"/>
    <s v="うきは市"/>
    <x v="37"/>
    <x v="9"/>
    <n v="26"/>
    <n v="3.89"/>
    <n v="18"/>
    <n v="4.1100000000000003"/>
    <n v="6"/>
    <n v="2.71"/>
    <x v="0"/>
  </r>
  <r>
    <x v="0"/>
    <s v="うきは市"/>
    <x v="37"/>
    <x v="10"/>
    <n v="94"/>
    <n v="14.07"/>
    <n v="84"/>
    <n v="19.18"/>
    <n v="9"/>
    <n v="4.07"/>
    <x v="1"/>
  </r>
  <r>
    <x v="0"/>
    <s v="うきは市"/>
    <x v="37"/>
    <x v="11"/>
    <n v="74"/>
    <n v="11.08"/>
    <n v="61"/>
    <n v="13.93"/>
    <n v="13"/>
    <n v="5.88"/>
    <x v="0"/>
  </r>
  <r>
    <x v="0"/>
    <s v="うきは市"/>
    <x v="37"/>
    <x v="12"/>
    <n v="18"/>
    <n v="2.69"/>
    <n v="12"/>
    <n v="2.74"/>
    <n v="1"/>
    <n v="0.45"/>
    <x v="1"/>
  </r>
  <r>
    <x v="0"/>
    <s v="うきは市"/>
    <x v="37"/>
    <x v="13"/>
    <n v="17"/>
    <n v="2.54"/>
    <n v="12"/>
    <n v="2.74"/>
    <n v="5"/>
    <n v="2.2599999999999998"/>
    <x v="0"/>
  </r>
  <r>
    <x v="0"/>
    <s v="うきは市"/>
    <x v="37"/>
    <x v="14"/>
    <n v="22"/>
    <n v="3.29"/>
    <n v="14"/>
    <n v="3.2"/>
    <n v="7"/>
    <n v="3.17"/>
    <x v="1"/>
  </r>
  <r>
    <x v="0"/>
    <s v="宮若市"/>
    <x v="38"/>
    <x v="0"/>
    <n v="0"/>
    <n v="0"/>
    <n v="0"/>
    <n v="0"/>
    <n v="0"/>
    <n v="0"/>
    <x v="0"/>
  </r>
  <r>
    <x v="0"/>
    <s v="宮若市"/>
    <x v="38"/>
    <x v="1"/>
    <n v="89"/>
    <n v="18.940000000000001"/>
    <n v="23"/>
    <n v="9.91"/>
    <n v="66"/>
    <n v="29.2"/>
    <x v="0"/>
  </r>
  <r>
    <x v="0"/>
    <s v="宮若市"/>
    <x v="38"/>
    <x v="2"/>
    <n v="32"/>
    <n v="6.81"/>
    <n v="10"/>
    <n v="4.3099999999999996"/>
    <n v="22"/>
    <n v="9.73"/>
    <x v="0"/>
  </r>
  <r>
    <x v="0"/>
    <s v="宮若市"/>
    <x v="38"/>
    <x v="3"/>
    <n v="2"/>
    <n v="0.43"/>
    <n v="0"/>
    <n v="0"/>
    <n v="1"/>
    <n v="0.44"/>
    <x v="0"/>
  </r>
  <r>
    <x v="0"/>
    <s v="宮若市"/>
    <x v="38"/>
    <x v="4"/>
    <n v="0"/>
    <n v="0"/>
    <n v="0"/>
    <n v="0"/>
    <n v="0"/>
    <n v="0"/>
    <x v="0"/>
  </r>
  <r>
    <x v="0"/>
    <s v="宮若市"/>
    <x v="38"/>
    <x v="5"/>
    <n v="13"/>
    <n v="2.77"/>
    <n v="0"/>
    <n v="0"/>
    <n v="12"/>
    <n v="5.31"/>
    <x v="1"/>
  </r>
  <r>
    <x v="0"/>
    <s v="宮若市"/>
    <x v="38"/>
    <x v="6"/>
    <n v="114"/>
    <n v="24.26"/>
    <n v="60"/>
    <n v="25.86"/>
    <n v="54"/>
    <n v="23.89"/>
    <x v="0"/>
  </r>
  <r>
    <x v="0"/>
    <s v="宮若市"/>
    <x v="38"/>
    <x v="7"/>
    <n v="1"/>
    <n v="0.21"/>
    <n v="0"/>
    <n v="0"/>
    <n v="1"/>
    <n v="0.44"/>
    <x v="0"/>
  </r>
  <r>
    <x v="0"/>
    <s v="宮若市"/>
    <x v="38"/>
    <x v="8"/>
    <n v="21"/>
    <n v="4.47"/>
    <n v="5"/>
    <n v="2.16"/>
    <n v="16"/>
    <n v="7.08"/>
    <x v="0"/>
  </r>
  <r>
    <x v="0"/>
    <s v="宮若市"/>
    <x v="38"/>
    <x v="9"/>
    <n v="16"/>
    <n v="3.4"/>
    <n v="10"/>
    <n v="4.3099999999999996"/>
    <n v="5"/>
    <n v="2.21"/>
    <x v="0"/>
  </r>
  <r>
    <x v="0"/>
    <s v="宮若市"/>
    <x v="38"/>
    <x v="10"/>
    <n v="48"/>
    <n v="10.210000000000001"/>
    <n v="36"/>
    <n v="15.52"/>
    <n v="12"/>
    <n v="5.31"/>
    <x v="0"/>
  </r>
  <r>
    <x v="0"/>
    <s v="宮若市"/>
    <x v="38"/>
    <x v="11"/>
    <n v="74"/>
    <n v="15.74"/>
    <n v="59"/>
    <n v="25.43"/>
    <n v="14"/>
    <n v="6.19"/>
    <x v="0"/>
  </r>
  <r>
    <x v="0"/>
    <s v="宮若市"/>
    <x v="38"/>
    <x v="12"/>
    <n v="9"/>
    <n v="1.91"/>
    <n v="5"/>
    <n v="2.16"/>
    <n v="2"/>
    <n v="0.88"/>
    <x v="0"/>
  </r>
  <r>
    <x v="0"/>
    <s v="宮若市"/>
    <x v="38"/>
    <x v="13"/>
    <n v="26"/>
    <n v="5.53"/>
    <n v="12"/>
    <n v="5.17"/>
    <n v="9"/>
    <n v="3.98"/>
    <x v="0"/>
  </r>
  <r>
    <x v="0"/>
    <s v="宮若市"/>
    <x v="38"/>
    <x v="14"/>
    <n v="25"/>
    <n v="5.32"/>
    <n v="12"/>
    <n v="5.17"/>
    <n v="12"/>
    <n v="5.31"/>
    <x v="0"/>
  </r>
  <r>
    <x v="0"/>
    <s v="嘉麻市"/>
    <x v="39"/>
    <x v="0"/>
    <n v="0"/>
    <n v="0"/>
    <n v="0"/>
    <n v="0"/>
    <n v="0"/>
    <n v="0"/>
    <x v="0"/>
  </r>
  <r>
    <x v="0"/>
    <s v="嘉麻市"/>
    <x v="39"/>
    <x v="1"/>
    <n v="116"/>
    <n v="16.22"/>
    <n v="52"/>
    <n v="11.5"/>
    <n v="64"/>
    <n v="27.23"/>
    <x v="0"/>
  </r>
  <r>
    <x v="0"/>
    <s v="嘉麻市"/>
    <x v="39"/>
    <x v="2"/>
    <n v="59"/>
    <n v="8.25"/>
    <n v="29"/>
    <n v="6.42"/>
    <n v="30"/>
    <n v="12.77"/>
    <x v="0"/>
  </r>
  <r>
    <x v="0"/>
    <s v="嘉麻市"/>
    <x v="39"/>
    <x v="3"/>
    <n v="6"/>
    <n v="0.84"/>
    <n v="0"/>
    <n v="0"/>
    <n v="2"/>
    <n v="0.85"/>
    <x v="0"/>
  </r>
  <r>
    <x v="0"/>
    <s v="嘉麻市"/>
    <x v="39"/>
    <x v="4"/>
    <n v="0"/>
    <n v="0"/>
    <n v="0"/>
    <n v="0"/>
    <n v="0"/>
    <n v="0"/>
    <x v="0"/>
  </r>
  <r>
    <x v="0"/>
    <s v="嘉麻市"/>
    <x v="39"/>
    <x v="5"/>
    <n v="3"/>
    <n v="0.42"/>
    <n v="2"/>
    <n v="0.44"/>
    <n v="1"/>
    <n v="0.43"/>
    <x v="0"/>
  </r>
  <r>
    <x v="0"/>
    <s v="嘉麻市"/>
    <x v="39"/>
    <x v="6"/>
    <n v="196"/>
    <n v="27.41"/>
    <n v="131"/>
    <n v="28.98"/>
    <n v="65"/>
    <n v="27.66"/>
    <x v="0"/>
  </r>
  <r>
    <x v="0"/>
    <s v="嘉麻市"/>
    <x v="39"/>
    <x v="7"/>
    <n v="1"/>
    <n v="0.14000000000000001"/>
    <n v="0"/>
    <n v="0"/>
    <n v="1"/>
    <n v="0.43"/>
    <x v="0"/>
  </r>
  <r>
    <x v="0"/>
    <s v="嘉麻市"/>
    <x v="39"/>
    <x v="8"/>
    <n v="19"/>
    <n v="2.66"/>
    <n v="6"/>
    <n v="1.33"/>
    <n v="13"/>
    <n v="5.53"/>
    <x v="0"/>
  </r>
  <r>
    <x v="0"/>
    <s v="嘉麻市"/>
    <x v="39"/>
    <x v="9"/>
    <n v="23"/>
    <n v="3.22"/>
    <n v="12"/>
    <n v="2.65"/>
    <n v="11"/>
    <n v="4.68"/>
    <x v="0"/>
  </r>
  <r>
    <x v="0"/>
    <s v="嘉麻市"/>
    <x v="39"/>
    <x v="10"/>
    <n v="69"/>
    <n v="9.65"/>
    <n v="63"/>
    <n v="13.94"/>
    <n v="6"/>
    <n v="2.5499999999999998"/>
    <x v="0"/>
  </r>
  <r>
    <x v="0"/>
    <s v="嘉麻市"/>
    <x v="39"/>
    <x v="11"/>
    <n v="116"/>
    <n v="16.22"/>
    <n v="101"/>
    <n v="22.35"/>
    <n v="14"/>
    <n v="5.96"/>
    <x v="0"/>
  </r>
  <r>
    <x v="0"/>
    <s v="嘉麻市"/>
    <x v="39"/>
    <x v="12"/>
    <n v="18"/>
    <n v="2.52"/>
    <n v="9"/>
    <n v="1.99"/>
    <n v="1"/>
    <n v="0.43"/>
    <x v="1"/>
  </r>
  <r>
    <x v="0"/>
    <s v="嘉麻市"/>
    <x v="39"/>
    <x v="13"/>
    <n v="57"/>
    <n v="7.97"/>
    <n v="27"/>
    <n v="5.97"/>
    <n v="17"/>
    <n v="7.23"/>
    <x v="0"/>
  </r>
  <r>
    <x v="0"/>
    <s v="嘉麻市"/>
    <x v="39"/>
    <x v="14"/>
    <n v="32"/>
    <n v="4.4800000000000004"/>
    <n v="20"/>
    <n v="4.42"/>
    <n v="10"/>
    <n v="4.26"/>
    <x v="0"/>
  </r>
  <r>
    <x v="0"/>
    <s v="朝倉市"/>
    <x v="40"/>
    <x v="0"/>
    <n v="1"/>
    <n v="0.08"/>
    <n v="0"/>
    <n v="0"/>
    <n v="1"/>
    <n v="0.18"/>
    <x v="0"/>
  </r>
  <r>
    <x v="0"/>
    <s v="朝倉市"/>
    <x v="40"/>
    <x v="1"/>
    <n v="208"/>
    <n v="15.71"/>
    <n v="85"/>
    <n v="11.18"/>
    <n v="123"/>
    <n v="22.24"/>
    <x v="0"/>
  </r>
  <r>
    <x v="0"/>
    <s v="朝倉市"/>
    <x v="40"/>
    <x v="2"/>
    <n v="119"/>
    <n v="8.99"/>
    <n v="53"/>
    <n v="6.97"/>
    <n v="66"/>
    <n v="11.93"/>
    <x v="0"/>
  </r>
  <r>
    <x v="0"/>
    <s v="朝倉市"/>
    <x v="40"/>
    <x v="3"/>
    <n v="5"/>
    <n v="0.38"/>
    <n v="0"/>
    <n v="0"/>
    <n v="3"/>
    <n v="0.54"/>
    <x v="0"/>
  </r>
  <r>
    <x v="0"/>
    <s v="朝倉市"/>
    <x v="40"/>
    <x v="4"/>
    <n v="6"/>
    <n v="0.45"/>
    <n v="1"/>
    <n v="0.13"/>
    <n v="5"/>
    <n v="0.9"/>
    <x v="0"/>
  </r>
  <r>
    <x v="0"/>
    <s v="朝倉市"/>
    <x v="40"/>
    <x v="5"/>
    <n v="9"/>
    <n v="0.68"/>
    <n v="1"/>
    <n v="0.13"/>
    <n v="8"/>
    <n v="1.45"/>
    <x v="0"/>
  </r>
  <r>
    <x v="0"/>
    <s v="朝倉市"/>
    <x v="40"/>
    <x v="6"/>
    <n v="396"/>
    <n v="29.91"/>
    <n v="217"/>
    <n v="28.55"/>
    <n v="179"/>
    <n v="32.369999999999997"/>
    <x v="0"/>
  </r>
  <r>
    <x v="0"/>
    <s v="朝倉市"/>
    <x v="40"/>
    <x v="7"/>
    <n v="6"/>
    <n v="0.45"/>
    <n v="1"/>
    <n v="0.13"/>
    <n v="5"/>
    <n v="0.9"/>
    <x v="0"/>
  </r>
  <r>
    <x v="0"/>
    <s v="朝倉市"/>
    <x v="40"/>
    <x v="8"/>
    <n v="74"/>
    <n v="5.59"/>
    <n v="26"/>
    <n v="3.42"/>
    <n v="48"/>
    <n v="8.68"/>
    <x v="0"/>
  </r>
  <r>
    <x v="0"/>
    <s v="朝倉市"/>
    <x v="40"/>
    <x v="9"/>
    <n v="58"/>
    <n v="4.38"/>
    <n v="33"/>
    <n v="4.34"/>
    <n v="24"/>
    <n v="4.34"/>
    <x v="1"/>
  </r>
  <r>
    <x v="0"/>
    <s v="朝倉市"/>
    <x v="40"/>
    <x v="10"/>
    <n v="150"/>
    <n v="11.33"/>
    <n v="132"/>
    <n v="17.37"/>
    <n v="17"/>
    <n v="3.07"/>
    <x v="1"/>
  </r>
  <r>
    <x v="0"/>
    <s v="朝倉市"/>
    <x v="40"/>
    <x v="11"/>
    <n v="160"/>
    <n v="12.08"/>
    <n v="133"/>
    <n v="17.5"/>
    <n v="27"/>
    <n v="4.88"/>
    <x v="0"/>
  </r>
  <r>
    <x v="0"/>
    <s v="朝倉市"/>
    <x v="40"/>
    <x v="12"/>
    <n v="23"/>
    <n v="1.74"/>
    <n v="16"/>
    <n v="2.11"/>
    <n v="6"/>
    <n v="1.08"/>
    <x v="0"/>
  </r>
  <r>
    <x v="0"/>
    <s v="朝倉市"/>
    <x v="40"/>
    <x v="13"/>
    <n v="56"/>
    <n v="4.2300000000000004"/>
    <n v="35"/>
    <n v="4.6100000000000003"/>
    <n v="18"/>
    <n v="3.25"/>
    <x v="0"/>
  </r>
  <r>
    <x v="0"/>
    <s v="朝倉市"/>
    <x v="40"/>
    <x v="14"/>
    <n v="53"/>
    <n v="4"/>
    <n v="27"/>
    <n v="3.55"/>
    <n v="23"/>
    <n v="4.16"/>
    <x v="3"/>
  </r>
  <r>
    <x v="0"/>
    <s v="みやま市"/>
    <x v="41"/>
    <x v="0"/>
    <n v="0"/>
    <n v="0"/>
    <n v="0"/>
    <n v="0"/>
    <n v="0"/>
    <n v="0"/>
    <x v="0"/>
  </r>
  <r>
    <x v="0"/>
    <s v="みやま市"/>
    <x v="41"/>
    <x v="1"/>
    <n v="178"/>
    <n v="20.16"/>
    <n v="102"/>
    <n v="17.68"/>
    <n v="76"/>
    <n v="25.76"/>
    <x v="0"/>
  </r>
  <r>
    <x v="0"/>
    <s v="みやま市"/>
    <x v="41"/>
    <x v="2"/>
    <n v="90"/>
    <n v="10.19"/>
    <n v="40"/>
    <n v="6.93"/>
    <n v="50"/>
    <n v="16.95"/>
    <x v="0"/>
  </r>
  <r>
    <x v="0"/>
    <s v="みやま市"/>
    <x v="41"/>
    <x v="3"/>
    <n v="2"/>
    <n v="0.23"/>
    <n v="0"/>
    <n v="0"/>
    <n v="2"/>
    <n v="0.68"/>
    <x v="0"/>
  </r>
  <r>
    <x v="0"/>
    <s v="みやま市"/>
    <x v="41"/>
    <x v="4"/>
    <n v="2"/>
    <n v="0.23"/>
    <n v="1"/>
    <n v="0.17"/>
    <n v="1"/>
    <n v="0.34"/>
    <x v="0"/>
  </r>
  <r>
    <x v="0"/>
    <s v="みやま市"/>
    <x v="41"/>
    <x v="5"/>
    <n v="4"/>
    <n v="0.45"/>
    <n v="3"/>
    <n v="0.52"/>
    <n v="1"/>
    <n v="0.34"/>
    <x v="0"/>
  </r>
  <r>
    <x v="0"/>
    <s v="みやま市"/>
    <x v="41"/>
    <x v="6"/>
    <n v="248"/>
    <n v="28.09"/>
    <n v="160"/>
    <n v="27.73"/>
    <n v="87"/>
    <n v="29.49"/>
    <x v="1"/>
  </r>
  <r>
    <x v="0"/>
    <s v="みやま市"/>
    <x v="41"/>
    <x v="7"/>
    <n v="5"/>
    <n v="0.56999999999999995"/>
    <n v="1"/>
    <n v="0.17"/>
    <n v="4"/>
    <n v="1.36"/>
    <x v="0"/>
  </r>
  <r>
    <x v="0"/>
    <s v="みやま市"/>
    <x v="41"/>
    <x v="8"/>
    <n v="49"/>
    <n v="5.55"/>
    <n v="23"/>
    <n v="3.99"/>
    <n v="26"/>
    <n v="8.81"/>
    <x v="0"/>
  </r>
  <r>
    <x v="0"/>
    <s v="みやま市"/>
    <x v="41"/>
    <x v="9"/>
    <n v="26"/>
    <n v="2.94"/>
    <n v="15"/>
    <n v="2.6"/>
    <n v="8"/>
    <n v="2.71"/>
    <x v="0"/>
  </r>
  <r>
    <x v="0"/>
    <s v="みやま市"/>
    <x v="41"/>
    <x v="10"/>
    <n v="54"/>
    <n v="6.12"/>
    <n v="51"/>
    <n v="8.84"/>
    <n v="3"/>
    <n v="1.02"/>
    <x v="0"/>
  </r>
  <r>
    <x v="0"/>
    <s v="みやま市"/>
    <x v="41"/>
    <x v="11"/>
    <n v="110"/>
    <n v="12.46"/>
    <n v="101"/>
    <n v="17.5"/>
    <n v="7"/>
    <n v="2.37"/>
    <x v="0"/>
  </r>
  <r>
    <x v="0"/>
    <s v="みやま市"/>
    <x v="41"/>
    <x v="12"/>
    <n v="28"/>
    <n v="3.17"/>
    <n v="22"/>
    <n v="3.81"/>
    <n v="3"/>
    <n v="1.02"/>
    <x v="0"/>
  </r>
  <r>
    <x v="0"/>
    <s v="みやま市"/>
    <x v="41"/>
    <x v="13"/>
    <n v="53"/>
    <n v="6"/>
    <n v="34"/>
    <n v="5.89"/>
    <n v="19"/>
    <n v="6.44"/>
    <x v="0"/>
  </r>
  <r>
    <x v="0"/>
    <s v="みやま市"/>
    <x v="41"/>
    <x v="14"/>
    <n v="34"/>
    <n v="3.85"/>
    <n v="24"/>
    <n v="4.16"/>
    <n v="8"/>
    <n v="2.71"/>
    <x v="1"/>
  </r>
  <r>
    <x v="0"/>
    <s v="糸島市"/>
    <x v="42"/>
    <x v="0"/>
    <n v="0"/>
    <n v="0"/>
    <n v="0"/>
    <n v="0"/>
    <n v="0"/>
    <n v="0"/>
    <x v="0"/>
  </r>
  <r>
    <x v="0"/>
    <s v="糸島市"/>
    <x v="42"/>
    <x v="1"/>
    <n v="296"/>
    <n v="16.89"/>
    <n v="142"/>
    <n v="13.87"/>
    <n v="154"/>
    <n v="21.88"/>
    <x v="0"/>
  </r>
  <r>
    <x v="0"/>
    <s v="糸島市"/>
    <x v="42"/>
    <x v="2"/>
    <n v="119"/>
    <n v="6.79"/>
    <n v="67"/>
    <n v="6.54"/>
    <n v="51"/>
    <n v="7.24"/>
    <x v="1"/>
  </r>
  <r>
    <x v="0"/>
    <s v="糸島市"/>
    <x v="42"/>
    <x v="3"/>
    <n v="1"/>
    <n v="0.06"/>
    <n v="0"/>
    <n v="0"/>
    <n v="1"/>
    <n v="0.14000000000000001"/>
    <x v="0"/>
  </r>
  <r>
    <x v="0"/>
    <s v="糸島市"/>
    <x v="42"/>
    <x v="4"/>
    <n v="15"/>
    <n v="0.86"/>
    <n v="0"/>
    <n v="0"/>
    <n v="15"/>
    <n v="2.13"/>
    <x v="0"/>
  </r>
  <r>
    <x v="0"/>
    <s v="糸島市"/>
    <x v="42"/>
    <x v="5"/>
    <n v="30"/>
    <n v="1.71"/>
    <n v="26"/>
    <n v="2.54"/>
    <n v="4"/>
    <n v="0.56999999999999995"/>
    <x v="0"/>
  </r>
  <r>
    <x v="0"/>
    <s v="糸島市"/>
    <x v="42"/>
    <x v="6"/>
    <n v="459"/>
    <n v="26.2"/>
    <n v="261"/>
    <n v="25.49"/>
    <n v="197"/>
    <n v="27.98"/>
    <x v="1"/>
  </r>
  <r>
    <x v="0"/>
    <s v="糸島市"/>
    <x v="42"/>
    <x v="7"/>
    <n v="4"/>
    <n v="0.23"/>
    <n v="0"/>
    <n v="0"/>
    <n v="4"/>
    <n v="0.56999999999999995"/>
    <x v="0"/>
  </r>
  <r>
    <x v="0"/>
    <s v="糸島市"/>
    <x v="42"/>
    <x v="8"/>
    <n v="93"/>
    <n v="5.31"/>
    <n v="23"/>
    <n v="2.25"/>
    <n v="70"/>
    <n v="9.94"/>
    <x v="0"/>
  </r>
  <r>
    <x v="0"/>
    <s v="糸島市"/>
    <x v="42"/>
    <x v="9"/>
    <n v="84"/>
    <n v="4.79"/>
    <n v="39"/>
    <n v="3.81"/>
    <n v="45"/>
    <n v="6.39"/>
    <x v="0"/>
  </r>
  <r>
    <x v="0"/>
    <s v="糸島市"/>
    <x v="42"/>
    <x v="10"/>
    <n v="212"/>
    <n v="12.1"/>
    <n v="171"/>
    <n v="16.7"/>
    <n v="41"/>
    <n v="5.82"/>
    <x v="0"/>
  </r>
  <r>
    <x v="0"/>
    <s v="糸島市"/>
    <x v="42"/>
    <x v="11"/>
    <n v="207"/>
    <n v="11.82"/>
    <n v="160"/>
    <n v="15.63"/>
    <n v="46"/>
    <n v="6.53"/>
    <x v="1"/>
  </r>
  <r>
    <x v="0"/>
    <s v="糸島市"/>
    <x v="42"/>
    <x v="12"/>
    <n v="64"/>
    <n v="3.65"/>
    <n v="45"/>
    <n v="4.3899999999999997"/>
    <n v="18"/>
    <n v="2.56"/>
    <x v="0"/>
  </r>
  <r>
    <x v="0"/>
    <s v="糸島市"/>
    <x v="42"/>
    <x v="13"/>
    <n v="92"/>
    <n v="5.25"/>
    <n v="59"/>
    <n v="5.76"/>
    <n v="30"/>
    <n v="4.26"/>
    <x v="0"/>
  </r>
  <r>
    <x v="0"/>
    <s v="糸島市"/>
    <x v="42"/>
    <x v="14"/>
    <n v="76"/>
    <n v="4.34"/>
    <n v="31"/>
    <n v="3.03"/>
    <n v="28"/>
    <n v="3.98"/>
    <x v="0"/>
  </r>
  <r>
    <x v="0"/>
    <s v="那珂川市"/>
    <x v="43"/>
    <x v="0"/>
    <n v="0"/>
    <n v="0"/>
    <n v="0"/>
    <n v="0"/>
    <n v="0"/>
    <n v="0"/>
    <x v="0"/>
  </r>
  <r>
    <x v="0"/>
    <s v="那珂川市"/>
    <x v="43"/>
    <x v="1"/>
    <n v="274"/>
    <n v="25.51"/>
    <n v="83"/>
    <n v="16.77"/>
    <n v="191"/>
    <n v="33.39"/>
    <x v="0"/>
  </r>
  <r>
    <x v="0"/>
    <s v="那珂川市"/>
    <x v="43"/>
    <x v="2"/>
    <n v="103"/>
    <n v="9.59"/>
    <n v="33"/>
    <n v="6.67"/>
    <n v="70"/>
    <n v="12.24"/>
    <x v="0"/>
  </r>
  <r>
    <x v="0"/>
    <s v="那珂川市"/>
    <x v="43"/>
    <x v="3"/>
    <n v="3"/>
    <n v="0.28000000000000003"/>
    <n v="0"/>
    <n v="0"/>
    <n v="0"/>
    <n v="0"/>
    <x v="0"/>
  </r>
  <r>
    <x v="0"/>
    <s v="那珂川市"/>
    <x v="43"/>
    <x v="4"/>
    <n v="6"/>
    <n v="0.56000000000000005"/>
    <n v="1"/>
    <n v="0.2"/>
    <n v="5"/>
    <n v="0.87"/>
    <x v="0"/>
  </r>
  <r>
    <x v="0"/>
    <s v="那珂川市"/>
    <x v="43"/>
    <x v="5"/>
    <n v="13"/>
    <n v="1.21"/>
    <n v="10"/>
    <n v="2.02"/>
    <n v="3"/>
    <n v="0.52"/>
    <x v="0"/>
  </r>
  <r>
    <x v="0"/>
    <s v="那珂川市"/>
    <x v="43"/>
    <x v="6"/>
    <n v="224"/>
    <n v="20.86"/>
    <n v="102"/>
    <n v="20.61"/>
    <n v="122"/>
    <n v="21.33"/>
    <x v="0"/>
  </r>
  <r>
    <x v="0"/>
    <s v="那珂川市"/>
    <x v="43"/>
    <x v="7"/>
    <n v="4"/>
    <n v="0.37"/>
    <n v="1"/>
    <n v="0.2"/>
    <n v="3"/>
    <n v="0.52"/>
    <x v="0"/>
  </r>
  <r>
    <x v="0"/>
    <s v="那珂川市"/>
    <x v="43"/>
    <x v="8"/>
    <n v="58"/>
    <n v="5.4"/>
    <n v="3"/>
    <n v="0.61"/>
    <n v="55"/>
    <n v="9.6199999999999992"/>
    <x v="0"/>
  </r>
  <r>
    <x v="0"/>
    <s v="那珂川市"/>
    <x v="43"/>
    <x v="9"/>
    <n v="53"/>
    <n v="4.93"/>
    <n v="26"/>
    <n v="5.25"/>
    <n v="27"/>
    <n v="4.72"/>
    <x v="0"/>
  </r>
  <r>
    <x v="0"/>
    <s v="那珂川市"/>
    <x v="43"/>
    <x v="10"/>
    <n v="93"/>
    <n v="8.66"/>
    <n v="79"/>
    <n v="15.96"/>
    <n v="14"/>
    <n v="2.4500000000000002"/>
    <x v="0"/>
  </r>
  <r>
    <x v="0"/>
    <s v="那珂川市"/>
    <x v="43"/>
    <x v="11"/>
    <n v="113"/>
    <n v="10.52"/>
    <n v="80"/>
    <n v="16.16"/>
    <n v="33"/>
    <n v="5.77"/>
    <x v="0"/>
  </r>
  <r>
    <x v="0"/>
    <s v="那珂川市"/>
    <x v="43"/>
    <x v="12"/>
    <n v="34"/>
    <n v="3.17"/>
    <n v="27"/>
    <n v="5.45"/>
    <n v="6"/>
    <n v="1.05"/>
    <x v="0"/>
  </r>
  <r>
    <x v="0"/>
    <s v="那珂川市"/>
    <x v="43"/>
    <x v="13"/>
    <n v="36"/>
    <n v="3.35"/>
    <n v="21"/>
    <n v="4.24"/>
    <n v="12"/>
    <n v="2.1"/>
    <x v="0"/>
  </r>
  <r>
    <x v="0"/>
    <s v="那珂川市"/>
    <x v="43"/>
    <x v="14"/>
    <n v="60"/>
    <n v="5.59"/>
    <n v="29"/>
    <n v="5.86"/>
    <n v="31"/>
    <n v="5.42"/>
    <x v="0"/>
  </r>
  <r>
    <x v="0"/>
    <s v="糟屋郡宇美町"/>
    <x v="44"/>
    <x v="0"/>
    <n v="0"/>
    <n v="0"/>
    <n v="0"/>
    <n v="0"/>
    <n v="0"/>
    <n v="0"/>
    <x v="0"/>
  </r>
  <r>
    <x v="0"/>
    <s v="糟屋郡宇美町"/>
    <x v="44"/>
    <x v="1"/>
    <n v="189"/>
    <n v="24.26"/>
    <n v="76"/>
    <n v="20.54"/>
    <n v="113"/>
    <n v="28.18"/>
    <x v="0"/>
  </r>
  <r>
    <x v="0"/>
    <s v="糟屋郡宇美町"/>
    <x v="44"/>
    <x v="2"/>
    <n v="118"/>
    <n v="15.15"/>
    <n v="36"/>
    <n v="9.73"/>
    <n v="82"/>
    <n v="20.45"/>
    <x v="0"/>
  </r>
  <r>
    <x v="0"/>
    <s v="糟屋郡宇美町"/>
    <x v="44"/>
    <x v="3"/>
    <n v="2"/>
    <n v="0.26"/>
    <n v="0"/>
    <n v="0"/>
    <n v="0"/>
    <n v="0"/>
    <x v="0"/>
  </r>
  <r>
    <x v="0"/>
    <s v="糟屋郡宇美町"/>
    <x v="44"/>
    <x v="4"/>
    <n v="4"/>
    <n v="0.51"/>
    <n v="0"/>
    <n v="0"/>
    <n v="4"/>
    <n v="1"/>
    <x v="0"/>
  </r>
  <r>
    <x v="0"/>
    <s v="糟屋郡宇美町"/>
    <x v="44"/>
    <x v="5"/>
    <n v="30"/>
    <n v="3.85"/>
    <n v="14"/>
    <n v="3.78"/>
    <n v="16"/>
    <n v="3.99"/>
    <x v="0"/>
  </r>
  <r>
    <x v="0"/>
    <s v="糟屋郡宇美町"/>
    <x v="44"/>
    <x v="6"/>
    <n v="136"/>
    <n v="17.46"/>
    <n v="58"/>
    <n v="15.68"/>
    <n v="78"/>
    <n v="19.45"/>
    <x v="0"/>
  </r>
  <r>
    <x v="0"/>
    <s v="糟屋郡宇美町"/>
    <x v="44"/>
    <x v="7"/>
    <n v="8"/>
    <n v="1.03"/>
    <n v="2"/>
    <n v="0.54"/>
    <n v="6"/>
    <n v="1.5"/>
    <x v="0"/>
  </r>
  <r>
    <x v="0"/>
    <s v="糟屋郡宇美町"/>
    <x v="44"/>
    <x v="8"/>
    <n v="48"/>
    <n v="6.16"/>
    <n v="20"/>
    <n v="5.41"/>
    <n v="28"/>
    <n v="6.98"/>
    <x v="0"/>
  </r>
  <r>
    <x v="0"/>
    <s v="糟屋郡宇美町"/>
    <x v="44"/>
    <x v="9"/>
    <n v="44"/>
    <n v="5.65"/>
    <n v="25"/>
    <n v="6.76"/>
    <n v="19"/>
    <n v="4.74"/>
    <x v="0"/>
  </r>
  <r>
    <x v="0"/>
    <s v="糟屋郡宇美町"/>
    <x v="44"/>
    <x v="10"/>
    <n v="44"/>
    <n v="5.65"/>
    <n v="33"/>
    <n v="8.92"/>
    <n v="11"/>
    <n v="2.74"/>
    <x v="0"/>
  </r>
  <r>
    <x v="0"/>
    <s v="糟屋郡宇美町"/>
    <x v="44"/>
    <x v="11"/>
    <n v="62"/>
    <n v="7.96"/>
    <n v="51"/>
    <n v="13.78"/>
    <n v="11"/>
    <n v="2.74"/>
    <x v="0"/>
  </r>
  <r>
    <x v="0"/>
    <s v="糟屋郡宇美町"/>
    <x v="44"/>
    <x v="12"/>
    <n v="26"/>
    <n v="3.34"/>
    <n v="22"/>
    <n v="5.95"/>
    <n v="3"/>
    <n v="0.75"/>
    <x v="0"/>
  </r>
  <r>
    <x v="0"/>
    <s v="糟屋郡宇美町"/>
    <x v="44"/>
    <x v="13"/>
    <n v="27"/>
    <n v="3.47"/>
    <n v="13"/>
    <n v="3.51"/>
    <n v="11"/>
    <n v="2.74"/>
    <x v="1"/>
  </r>
  <r>
    <x v="0"/>
    <s v="糟屋郡宇美町"/>
    <x v="44"/>
    <x v="14"/>
    <n v="41"/>
    <n v="5.26"/>
    <n v="20"/>
    <n v="5.41"/>
    <n v="19"/>
    <n v="4.74"/>
    <x v="0"/>
  </r>
  <r>
    <x v="0"/>
    <s v="糟屋郡篠栗町"/>
    <x v="45"/>
    <x v="0"/>
    <n v="0"/>
    <n v="0"/>
    <n v="0"/>
    <n v="0"/>
    <n v="0"/>
    <n v="0"/>
    <x v="0"/>
  </r>
  <r>
    <x v="0"/>
    <s v="糟屋郡篠栗町"/>
    <x v="45"/>
    <x v="1"/>
    <n v="66"/>
    <n v="16.5"/>
    <n v="19"/>
    <n v="9.9"/>
    <n v="47"/>
    <n v="22.82"/>
    <x v="0"/>
  </r>
  <r>
    <x v="0"/>
    <s v="糟屋郡篠栗町"/>
    <x v="45"/>
    <x v="2"/>
    <n v="33"/>
    <n v="8.25"/>
    <n v="14"/>
    <n v="7.29"/>
    <n v="19"/>
    <n v="9.2200000000000006"/>
    <x v="0"/>
  </r>
  <r>
    <x v="0"/>
    <s v="糟屋郡篠栗町"/>
    <x v="45"/>
    <x v="3"/>
    <n v="1"/>
    <n v="0.25"/>
    <n v="0"/>
    <n v="0"/>
    <n v="1"/>
    <n v="0.49"/>
    <x v="0"/>
  </r>
  <r>
    <x v="0"/>
    <s v="糟屋郡篠栗町"/>
    <x v="45"/>
    <x v="4"/>
    <n v="5"/>
    <n v="1.25"/>
    <n v="0"/>
    <n v="0"/>
    <n v="5"/>
    <n v="2.4300000000000002"/>
    <x v="0"/>
  </r>
  <r>
    <x v="0"/>
    <s v="糟屋郡篠栗町"/>
    <x v="45"/>
    <x v="5"/>
    <n v="10"/>
    <n v="2.5"/>
    <n v="1"/>
    <n v="0.52"/>
    <n v="9"/>
    <n v="4.37"/>
    <x v="0"/>
  </r>
  <r>
    <x v="0"/>
    <s v="糟屋郡篠栗町"/>
    <x v="45"/>
    <x v="6"/>
    <n v="91"/>
    <n v="22.75"/>
    <n v="48"/>
    <n v="25"/>
    <n v="43"/>
    <n v="20.87"/>
    <x v="0"/>
  </r>
  <r>
    <x v="0"/>
    <s v="糟屋郡篠栗町"/>
    <x v="45"/>
    <x v="7"/>
    <n v="1"/>
    <n v="0.25"/>
    <n v="0"/>
    <n v="0"/>
    <n v="1"/>
    <n v="0.49"/>
    <x v="0"/>
  </r>
  <r>
    <x v="0"/>
    <s v="糟屋郡篠栗町"/>
    <x v="45"/>
    <x v="8"/>
    <n v="35"/>
    <n v="8.75"/>
    <n v="8"/>
    <n v="4.17"/>
    <n v="27"/>
    <n v="13.11"/>
    <x v="0"/>
  </r>
  <r>
    <x v="0"/>
    <s v="糟屋郡篠栗町"/>
    <x v="45"/>
    <x v="9"/>
    <n v="19"/>
    <n v="4.75"/>
    <n v="7"/>
    <n v="3.65"/>
    <n v="12"/>
    <n v="5.83"/>
    <x v="0"/>
  </r>
  <r>
    <x v="0"/>
    <s v="糟屋郡篠栗町"/>
    <x v="45"/>
    <x v="10"/>
    <n v="46"/>
    <n v="11.5"/>
    <n v="35"/>
    <n v="18.23"/>
    <n v="11"/>
    <n v="5.34"/>
    <x v="0"/>
  </r>
  <r>
    <x v="0"/>
    <s v="糟屋郡篠栗町"/>
    <x v="45"/>
    <x v="11"/>
    <n v="52"/>
    <n v="13"/>
    <n v="38"/>
    <n v="19.79"/>
    <n v="13"/>
    <n v="6.31"/>
    <x v="0"/>
  </r>
  <r>
    <x v="0"/>
    <s v="糟屋郡篠栗町"/>
    <x v="45"/>
    <x v="12"/>
    <n v="10"/>
    <n v="2.5"/>
    <n v="8"/>
    <n v="4.17"/>
    <n v="2"/>
    <n v="0.97"/>
    <x v="0"/>
  </r>
  <r>
    <x v="0"/>
    <s v="糟屋郡篠栗町"/>
    <x v="45"/>
    <x v="13"/>
    <n v="14"/>
    <n v="3.5"/>
    <n v="11"/>
    <n v="5.73"/>
    <n v="3"/>
    <n v="1.46"/>
    <x v="0"/>
  </r>
  <r>
    <x v="0"/>
    <s v="糟屋郡篠栗町"/>
    <x v="45"/>
    <x v="14"/>
    <n v="17"/>
    <n v="4.25"/>
    <n v="3"/>
    <n v="1.56"/>
    <n v="13"/>
    <n v="6.31"/>
    <x v="0"/>
  </r>
  <r>
    <x v="0"/>
    <s v="糟屋郡志免町"/>
    <x v="46"/>
    <x v="0"/>
    <n v="0"/>
    <n v="0"/>
    <n v="0"/>
    <n v="0"/>
    <n v="0"/>
    <n v="0"/>
    <x v="0"/>
  </r>
  <r>
    <x v="0"/>
    <s v="糟屋郡志免町"/>
    <x v="46"/>
    <x v="1"/>
    <n v="133"/>
    <n v="14.7"/>
    <n v="24"/>
    <n v="6.54"/>
    <n v="109"/>
    <n v="20.49"/>
    <x v="0"/>
  </r>
  <r>
    <x v="0"/>
    <s v="糟屋郡志免町"/>
    <x v="46"/>
    <x v="2"/>
    <n v="86"/>
    <n v="9.5"/>
    <n v="22"/>
    <n v="5.99"/>
    <n v="64"/>
    <n v="12.03"/>
    <x v="0"/>
  </r>
  <r>
    <x v="0"/>
    <s v="糟屋郡志免町"/>
    <x v="46"/>
    <x v="3"/>
    <n v="0"/>
    <n v="0"/>
    <n v="0"/>
    <n v="0"/>
    <n v="0"/>
    <n v="0"/>
    <x v="0"/>
  </r>
  <r>
    <x v="0"/>
    <s v="糟屋郡志免町"/>
    <x v="46"/>
    <x v="4"/>
    <n v="7"/>
    <n v="0.77"/>
    <n v="1"/>
    <n v="0.27"/>
    <n v="6"/>
    <n v="1.1299999999999999"/>
    <x v="0"/>
  </r>
  <r>
    <x v="0"/>
    <s v="糟屋郡志免町"/>
    <x v="46"/>
    <x v="5"/>
    <n v="29"/>
    <n v="3.2"/>
    <n v="5"/>
    <n v="1.36"/>
    <n v="24"/>
    <n v="4.51"/>
    <x v="0"/>
  </r>
  <r>
    <x v="0"/>
    <s v="糟屋郡志免町"/>
    <x v="46"/>
    <x v="6"/>
    <n v="227"/>
    <n v="25.08"/>
    <n v="100"/>
    <n v="27.25"/>
    <n v="127"/>
    <n v="23.87"/>
    <x v="0"/>
  </r>
  <r>
    <x v="0"/>
    <s v="糟屋郡志免町"/>
    <x v="46"/>
    <x v="7"/>
    <n v="7"/>
    <n v="0.77"/>
    <n v="0"/>
    <n v="0"/>
    <n v="7"/>
    <n v="1.32"/>
    <x v="0"/>
  </r>
  <r>
    <x v="0"/>
    <s v="糟屋郡志免町"/>
    <x v="46"/>
    <x v="8"/>
    <n v="118"/>
    <n v="13.04"/>
    <n v="33"/>
    <n v="8.99"/>
    <n v="85"/>
    <n v="15.98"/>
    <x v="0"/>
  </r>
  <r>
    <x v="0"/>
    <s v="糟屋郡志免町"/>
    <x v="46"/>
    <x v="9"/>
    <n v="28"/>
    <n v="3.09"/>
    <n v="11"/>
    <n v="3"/>
    <n v="17"/>
    <n v="3.2"/>
    <x v="0"/>
  </r>
  <r>
    <x v="0"/>
    <s v="糟屋郡志免町"/>
    <x v="46"/>
    <x v="10"/>
    <n v="87"/>
    <n v="9.61"/>
    <n v="69"/>
    <n v="18.8"/>
    <n v="18"/>
    <n v="3.38"/>
    <x v="0"/>
  </r>
  <r>
    <x v="0"/>
    <s v="糟屋郡志免町"/>
    <x v="46"/>
    <x v="11"/>
    <n v="93"/>
    <n v="10.28"/>
    <n v="61"/>
    <n v="16.62"/>
    <n v="28"/>
    <n v="5.26"/>
    <x v="0"/>
  </r>
  <r>
    <x v="0"/>
    <s v="糟屋郡志免町"/>
    <x v="46"/>
    <x v="12"/>
    <n v="19"/>
    <n v="2.1"/>
    <n v="12"/>
    <n v="3.27"/>
    <n v="7"/>
    <n v="1.32"/>
    <x v="0"/>
  </r>
  <r>
    <x v="0"/>
    <s v="糟屋郡志免町"/>
    <x v="46"/>
    <x v="13"/>
    <n v="33"/>
    <n v="3.65"/>
    <n v="15"/>
    <n v="4.09"/>
    <n v="17"/>
    <n v="3.2"/>
    <x v="0"/>
  </r>
  <r>
    <x v="0"/>
    <s v="糟屋郡志免町"/>
    <x v="46"/>
    <x v="14"/>
    <n v="38"/>
    <n v="4.2"/>
    <n v="14"/>
    <n v="3.81"/>
    <n v="23"/>
    <n v="4.32"/>
    <x v="0"/>
  </r>
  <r>
    <x v="0"/>
    <s v="糟屋郡須恵町"/>
    <x v="47"/>
    <x v="0"/>
    <n v="0"/>
    <n v="0"/>
    <n v="0"/>
    <n v="0"/>
    <n v="0"/>
    <n v="0"/>
    <x v="0"/>
  </r>
  <r>
    <x v="0"/>
    <s v="糟屋郡須恵町"/>
    <x v="47"/>
    <x v="1"/>
    <n v="129"/>
    <n v="22.2"/>
    <n v="45"/>
    <n v="17.309999999999999"/>
    <n v="84"/>
    <n v="26.42"/>
    <x v="0"/>
  </r>
  <r>
    <x v="0"/>
    <s v="糟屋郡須恵町"/>
    <x v="47"/>
    <x v="2"/>
    <n v="130"/>
    <n v="22.38"/>
    <n v="44"/>
    <n v="16.920000000000002"/>
    <n v="86"/>
    <n v="27.04"/>
    <x v="0"/>
  </r>
  <r>
    <x v="0"/>
    <s v="糟屋郡須恵町"/>
    <x v="47"/>
    <x v="3"/>
    <n v="0"/>
    <n v="0"/>
    <n v="0"/>
    <n v="0"/>
    <n v="0"/>
    <n v="0"/>
    <x v="0"/>
  </r>
  <r>
    <x v="0"/>
    <s v="糟屋郡須恵町"/>
    <x v="47"/>
    <x v="4"/>
    <n v="3"/>
    <n v="0.52"/>
    <n v="0"/>
    <n v="0"/>
    <n v="3"/>
    <n v="0.94"/>
    <x v="0"/>
  </r>
  <r>
    <x v="0"/>
    <s v="糟屋郡須恵町"/>
    <x v="47"/>
    <x v="5"/>
    <n v="25"/>
    <n v="4.3"/>
    <n v="11"/>
    <n v="4.2300000000000004"/>
    <n v="14"/>
    <n v="4.4000000000000004"/>
    <x v="0"/>
  </r>
  <r>
    <x v="0"/>
    <s v="糟屋郡須恵町"/>
    <x v="47"/>
    <x v="6"/>
    <n v="105"/>
    <n v="18.07"/>
    <n v="40"/>
    <n v="15.38"/>
    <n v="65"/>
    <n v="20.440000000000001"/>
    <x v="0"/>
  </r>
  <r>
    <x v="0"/>
    <s v="糟屋郡須恵町"/>
    <x v="47"/>
    <x v="7"/>
    <n v="1"/>
    <n v="0.17"/>
    <n v="0"/>
    <n v="0"/>
    <n v="1"/>
    <n v="0.31"/>
    <x v="0"/>
  </r>
  <r>
    <x v="0"/>
    <s v="糟屋郡須恵町"/>
    <x v="47"/>
    <x v="8"/>
    <n v="32"/>
    <n v="5.51"/>
    <n v="10"/>
    <n v="3.85"/>
    <n v="22"/>
    <n v="6.92"/>
    <x v="0"/>
  </r>
  <r>
    <x v="0"/>
    <s v="糟屋郡須恵町"/>
    <x v="47"/>
    <x v="9"/>
    <n v="14"/>
    <n v="2.41"/>
    <n v="8"/>
    <n v="3.08"/>
    <n v="6"/>
    <n v="1.89"/>
    <x v="0"/>
  </r>
  <r>
    <x v="0"/>
    <s v="糟屋郡須恵町"/>
    <x v="47"/>
    <x v="10"/>
    <n v="34"/>
    <n v="5.85"/>
    <n v="27"/>
    <n v="10.38"/>
    <n v="7"/>
    <n v="2.2000000000000002"/>
    <x v="0"/>
  </r>
  <r>
    <x v="0"/>
    <s v="糟屋郡須恵町"/>
    <x v="47"/>
    <x v="11"/>
    <n v="36"/>
    <n v="6.2"/>
    <n v="30"/>
    <n v="11.54"/>
    <n v="6"/>
    <n v="1.89"/>
    <x v="0"/>
  </r>
  <r>
    <x v="0"/>
    <s v="糟屋郡須恵町"/>
    <x v="47"/>
    <x v="12"/>
    <n v="16"/>
    <n v="2.75"/>
    <n v="12"/>
    <n v="4.62"/>
    <n v="1"/>
    <n v="0.31"/>
    <x v="0"/>
  </r>
  <r>
    <x v="0"/>
    <s v="糟屋郡須恵町"/>
    <x v="47"/>
    <x v="13"/>
    <n v="21"/>
    <n v="3.61"/>
    <n v="16"/>
    <n v="6.15"/>
    <n v="5"/>
    <n v="1.57"/>
    <x v="0"/>
  </r>
  <r>
    <x v="0"/>
    <s v="糟屋郡須恵町"/>
    <x v="47"/>
    <x v="14"/>
    <n v="35"/>
    <n v="6.02"/>
    <n v="17"/>
    <n v="6.54"/>
    <n v="18"/>
    <n v="5.66"/>
    <x v="0"/>
  </r>
  <r>
    <x v="0"/>
    <s v="糟屋郡新宮町"/>
    <x v="48"/>
    <x v="0"/>
    <n v="0"/>
    <n v="0"/>
    <n v="0"/>
    <n v="0"/>
    <n v="0"/>
    <n v="0"/>
    <x v="0"/>
  </r>
  <r>
    <x v="0"/>
    <s v="糟屋郡新宮町"/>
    <x v="48"/>
    <x v="1"/>
    <n v="80"/>
    <n v="16.23"/>
    <n v="12"/>
    <n v="7.36"/>
    <n v="68"/>
    <n v="20.67"/>
    <x v="0"/>
  </r>
  <r>
    <x v="0"/>
    <s v="糟屋郡新宮町"/>
    <x v="48"/>
    <x v="2"/>
    <n v="51"/>
    <n v="10.34"/>
    <n v="15"/>
    <n v="9.1999999999999993"/>
    <n v="36"/>
    <n v="10.94"/>
    <x v="0"/>
  </r>
  <r>
    <x v="0"/>
    <s v="糟屋郡新宮町"/>
    <x v="48"/>
    <x v="3"/>
    <n v="0"/>
    <n v="0"/>
    <n v="0"/>
    <n v="0"/>
    <n v="0"/>
    <n v="0"/>
    <x v="0"/>
  </r>
  <r>
    <x v="0"/>
    <s v="糟屋郡新宮町"/>
    <x v="48"/>
    <x v="4"/>
    <n v="3"/>
    <n v="0.61"/>
    <n v="0"/>
    <n v="0"/>
    <n v="3"/>
    <n v="0.91"/>
    <x v="0"/>
  </r>
  <r>
    <x v="0"/>
    <s v="糟屋郡新宮町"/>
    <x v="48"/>
    <x v="5"/>
    <n v="15"/>
    <n v="3.04"/>
    <n v="0"/>
    <n v="0"/>
    <n v="15"/>
    <n v="4.5599999999999996"/>
    <x v="0"/>
  </r>
  <r>
    <x v="0"/>
    <s v="糟屋郡新宮町"/>
    <x v="48"/>
    <x v="6"/>
    <n v="130"/>
    <n v="26.37"/>
    <n v="50"/>
    <n v="30.67"/>
    <n v="80"/>
    <n v="24.32"/>
    <x v="0"/>
  </r>
  <r>
    <x v="0"/>
    <s v="糟屋郡新宮町"/>
    <x v="48"/>
    <x v="7"/>
    <n v="3"/>
    <n v="0.61"/>
    <n v="1"/>
    <n v="0.61"/>
    <n v="2"/>
    <n v="0.61"/>
    <x v="0"/>
  </r>
  <r>
    <x v="0"/>
    <s v="糟屋郡新宮町"/>
    <x v="48"/>
    <x v="8"/>
    <n v="56"/>
    <n v="11.36"/>
    <n v="3"/>
    <n v="1.84"/>
    <n v="53"/>
    <n v="16.11"/>
    <x v="0"/>
  </r>
  <r>
    <x v="0"/>
    <s v="糟屋郡新宮町"/>
    <x v="48"/>
    <x v="9"/>
    <n v="20"/>
    <n v="4.0599999999999996"/>
    <n v="6"/>
    <n v="3.68"/>
    <n v="14"/>
    <n v="4.26"/>
    <x v="0"/>
  </r>
  <r>
    <x v="0"/>
    <s v="糟屋郡新宮町"/>
    <x v="48"/>
    <x v="10"/>
    <n v="29"/>
    <n v="5.88"/>
    <n v="18"/>
    <n v="11.04"/>
    <n v="11"/>
    <n v="3.34"/>
    <x v="0"/>
  </r>
  <r>
    <x v="0"/>
    <s v="糟屋郡新宮町"/>
    <x v="48"/>
    <x v="11"/>
    <n v="48"/>
    <n v="9.74"/>
    <n v="27"/>
    <n v="16.559999999999999"/>
    <n v="20"/>
    <n v="6.08"/>
    <x v="0"/>
  </r>
  <r>
    <x v="0"/>
    <s v="糟屋郡新宮町"/>
    <x v="48"/>
    <x v="12"/>
    <n v="14"/>
    <n v="2.84"/>
    <n v="11"/>
    <n v="6.75"/>
    <n v="3"/>
    <n v="0.91"/>
    <x v="0"/>
  </r>
  <r>
    <x v="0"/>
    <s v="糟屋郡新宮町"/>
    <x v="48"/>
    <x v="13"/>
    <n v="20"/>
    <n v="4.0599999999999996"/>
    <n v="11"/>
    <n v="6.75"/>
    <n v="9"/>
    <n v="2.74"/>
    <x v="0"/>
  </r>
  <r>
    <x v="0"/>
    <s v="糟屋郡新宮町"/>
    <x v="48"/>
    <x v="14"/>
    <n v="24"/>
    <n v="4.87"/>
    <n v="9"/>
    <n v="5.52"/>
    <n v="15"/>
    <n v="4.5599999999999996"/>
    <x v="0"/>
  </r>
  <r>
    <x v="0"/>
    <s v="糟屋郡久山町"/>
    <x v="49"/>
    <x v="0"/>
    <n v="0"/>
    <n v="0"/>
    <n v="0"/>
    <n v="0"/>
    <n v="0"/>
    <n v="0"/>
    <x v="0"/>
  </r>
  <r>
    <x v="0"/>
    <s v="糟屋郡久山町"/>
    <x v="49"/>
    <x v="1"/>
    <n v="38"/>
    <n v="18.72"/>
    <n v="11"/>
    <n v="14.67"/>
    <n v="27"/>
    <n v="21.43"/>
    <x v="0"/>
  </r>
  <r>
    <x v="0"/>
    <s v="糟屋郡久山町"/>
    <x v="49"/>
    <x v="2"/>
    <n v="21"/>
    <n v="10.34"/>
    <n v="9"/>
    <n v="12"/>
    <n v="12"/>
    <n v="9.52"/>
    <x v="0"/>
  </r>
  <r>
    <x v="0"/>
    <s v="糟屋郡久山町"/>
    <x v="49"/>
    <x v="3"/>
    <n v="0"/>
    <n v="0"/>
    <n v="0"/>
    <n v="0"/>
    <n v="0"/>
    <n v="0"/>
    <x v="0"/>
  </r>
  <r>
    <x v="0"/>
    <s v="糟屋郡久山町"/>
    <x v="49"/>
    <x v="4"/>
    <n v="0"/>
    <n v="0"/>
    <n v="0"/>
    <n v="0"/>
    <n v="0"/>
    <n v="0"/>
    <x v="0"/>
  </r>
  <r>
    <x v="0"/>
    <s v="糟屋郡久山町"/>
    <x v="49"/>
    <x v="5"/>
    <n v="8"/>
    <n v="3.94"/>
    <n v="1"/>
    <n v="1.33"/>
    <n v="7"/>
    <n v="5.56"/>
    <x v="0"/>
  </r>
  <r>
    <x v="0"/>
    <s v="糟屋郡久山町"/>
    <x v="49"/>
    <x v="6"/>
    <n v="64"/>
    <n v="31.53"/>
    <n v="19"/>
    <n v="25.33"/>
    <n v="45"/>
    <n v="35.71"/>
    <x v="0"/>
  </r>
  <r>
    <x v="0"/>
    <s v="糟屋郡久山町"/>
    <x v="49"/>
    <x v="7"/>
    <n v="1"/>
    <n v="0.49"/>
    <n v="0"/>
    <n v="0"/>
    <n v="1"/>
    <n v="0.79"/>
    <x v="0"/>
  </r>
  <r>
    <x v="0"/>
    <s v="糟屋郡久山町"/>
    <x v="49"/>
    <x v="8"/>
    <n v="10"/>
    <n v="4.93"/>
    <n v="2"/>
    <n v="2.67"/>
    <n v="8"/>
    <n v="6.35"/>
    <x v="0"/>
  </r>
  <r>
    <x v="0"/>
    <s v="糟屋郡久山町"/>
    <x v="49"/>
    <x v="9"/>
    <n v="3"/>
    <n v="1.48"/>
    <n v="1"/>
    <n v="1.33"/>
    <n v="2"/>
    <n v="1.59"/>
    <x v="0"/>
  </r>
  <r>
    <x v="0"/>
    <s v="糟屋郡久山町"/>
    <x v="49"/>
    <x v="10"/>
    <n v="22"/>
    <n v="10.84"/>
    <n v="12"/>
    <n v="16"/>
    <n v="10"/>
    <n v="7.94"/>
    <x v="0"/>
  </r>
  <r>
    <x v="0"/>
    <s v="糟屋郡久山町"/>
    <x v="49"/>
    <x v="11"/>
    <n v="13"/>
    <n v="6.4"/>
    <n v="6"/>
    <n v="8"/>
    <n v="7"/>
    <n v="5.56"/>
    <x v="0"/>
  </r>
  <r>
    <x v="0"/>
    <s v="糟屋郡久山町"/>
    <x v="49"/>
    <x v="12"/>
    <n v="1"/>
    <n v="0.49"/>
    <n v="1"/>
    <n v="1.33"/>
    <n v="0"/>
    <n v="0"/>
    <x v="0"/>
  </r>
  <r>
    <x v="0"/>
    <s v="糟屋郡久山町"/>
    <x v="49"/>
    <x v="13"/>
    <n v="9"/>
    <n v="4.43"/>
    <n v="6"/>
    <n v="8"/>
    <n v="1"/>
    <n v="0.79"/>
    <x v="0"/>
  </r>
  <r>
    <x v="0"/>
    <s v="糟屋郡久山町"/>
    <x v="49"/>
    <x v="14"/>
    <n v="13"/>
    <n v="6.4"/>
    <n v="7"/>
    <n v="9.33"/>
    <n v="6"/>
    <n v="4.76"/>
    <x v="0"/>
  </r>
  <r>
    <x v="0"/>
    <s v="糟屋郡粕屋町"/>
    <x v="50"/>
    <x v="0"/>
    <n v="0"/>
    <n v="0"/>
    <n v="0"/>
    <n v="0"/>
    <n v="0"/>
    <n v="0"/>
    <x v="0"/>
  </r>
  <r>
    <x v="0"/>
    <s v="糟屋郡粕屋町"/>
    <x v="50"/>
    <x v="1"/>
    <n v="133"/>
    <n v="15.34"/>
    <n v="19"/>
    <n v="6.57"/>
    <n v="114"/>
    <n v="19.86"/>
    <x v="0"/>
  </r>
  <r>
    <x v="0"/>
    <s v="糟屋郡粕屋町"/>
    <x v="50"/>
    <x v="2"/>
    <n v="73"/>
    <n v="8.42"/>
    <n v="22"/>
    <n v="7.61"/>
    <n v="51"/>
    <n v="8.89"/>
    <x v="0"/>
  </r>
  <r>
    <x v="0"/>
    <s v="糟屋郡粕屋町"/>
    <x v="50"/>
    <x v="3"/>
    <n v="2"/>
    <n v="0.23"/>
    <n v="0"/>
    <n v="0"/>
    <n v="2"/>
    <n v="0.35"/>
    <x v="0"/>
  </r>
  <r>
    <x v="0"/>
    <s v="糟屋郡粕屋町"/>
    <x v="50"/>
    <x v="4"/>
    <n v="7"/>
    <n v="0.81"/>
    <n v="1"/>
    <n v="0.35"/>
    <n v="6"/>
    <n v="1.05"/>
    <x v="0"/>
  </r>
  <r>
    <x v="0"/>
    <s v="糟屋郡粕屋町"/>
    <x v="50"/>
    <x v="5"/>
    <n v="29"/>
    <n v="3.34"/>
    <n v="1"/>
    <n v="0.35"/>
    <n v="28"/>
    <n v="4.88"/>
    <x v="0"/>
  </r>
  <r>
    <x v="0"/>
    <s v="糟屋郡粕屋町"/>
    <x v="50"/>
    <x v="6"/>
    <n v="267"/>
    <n v="30.8"/>
    <n v="65"/>
    <n v="22.49"/>
    <n v="202"/>
    <n v="35.19"/>
    <x v="0"/>
  </r>
  <r>
    <x v="0"/>
    <s v="糟屋郡粕屋町"/>
    <x v="50"/>
    <x v="7"/>
    <n v="7"/>
    <n v="0.81"/>
    <n v="2"/>
    <n v="0.69"/>
    <n v="5"/>
    <n v="0.87"/>
    <x v="0"/>
  </r>
  <r>
    <x v="0"/>
    <s v="糟屋郡粕屋町"/>
    <x v="50"/>
    <x v="8"/>
    <n v="74"/>
    <n v="8.5399999999999991"/>
    <n v="6"/>
    <n v="2.08"/>
    <n v="68"/>
    <n v="11.85"/>
    <x v="0"/>
  </r>
  <r>
    <x v="0"/>
    <s v="糟屋郡粕屋町"/>
    <x v="50"/>
    <x v="9"/>
    <n v="43"/>
    <n v="4.96"/>
    <n v="24"/>
    <n v="8.3000000000000007"/>
    <n v="19"/>
    <n v="3.31"/>
    <x v="0"/>
  </r>
  <r>
    <x v="0"/>
    <s v="糟屋郡粕屋町"/>
    <x v="50"/>
    <x v="10"/>
    <n v="52"/>
    <n v="6"/>
    <n v="44"/>
    <n v="15.22"/>
    <n v="8"/>
    <n v="1.39"/>
    <x v="0"/>
  </r>
  <r>
    <x v="0"/>
    <s v="糟屋郡粕屋町"/>
    <x v="50"/>
    <x v="11"/>
    <n v="81"/>
    <n v="9.34"/>
    <n v="59"/>
    <n v="20.420000000000002"/>
    <n v="21"/>
    <n v="3.66"/>
    <x v="0"/>
  </r>
  <r>
    <x v="0"/>
    <s v="糟屋郡粕屋町"/>
    <x v="50"/>
    <x v="12"/>
    <n v="22"/>
    <n v="2.54"/>
    <n v="15"/>
    <n v="5.19"/>
    <n v="6"/>
    <n v="1.05"/>
    <x v="0"/>
  </r>
  <r>
    <x v="0"/>
    <s v="糟屋郡粕屋町"/>
    <x v="50"/>
    <x v="13"/>
    <n v="33"/>
    <n v="3.81"/>
    <n v="20"/>
    <n v="6.92"/>
    <n v="13"/>
    <n v="2.2599999999999998"/>
    <x v="0"/>
  </r>
  <r>
    <x v="0"/>
    <s v="糟屋郡粕屋町"/>
    <x v="50"/>
    <x v="14"/>
    <n v="44"/>
    <n v="5.07"/>
    <n v="11"/>
    <n v="3.81"/>
    <n v="31"/>
    <n v="5.4"/>
    <x v="0"/>
  </r>
  <r>
    <x v="0"/>
    <s v="遠賀郡芦屋町"/>
    <x v="51"/>
    <x v="0"/>
    <n v="1"/>
    <n v="0.31"/>
    <n v="0"/>
    <n v="0"/>
    <n v="1"/>
    <n v="0.89"/>
    <x v="0"/>
  </r>
  <r>
    <x v="0"/>
    <s v="遠賀郡芦屋町"/>
    <x v="51"/>
    <x v="1"/>
    <n v="65"/>
    <n v="19.940000000000001"/>
    <n v="21"/>
    <n v="10.24"/>
    <n v="44"/>
    <n v="39.29"/>
    <x v="0"/>
  </r>
  <r>
    <x v="0"/>
    <s v="遠賀郡芦屋町"/>
    <x v="51"/>
    <x v="2"/>
    <n v="15"/>
    <n v="4.5999999999999996"/>
    <n v="8"/>
    <n v="3.9"/>
    <n v="7"/>
    <n v="6.25"/>
    <x v="0"/>
  </r>
  <r>
    <x v="0"/>
    <s v="遠賀郡芦屋町"/>
    <x v="51"/>
    <x v="3"/>
    <n v="0"/>
    <n v="0"/>
    <n v="0"/>
    <n v="0"/>
    <n v="0"/>
    <n v="0"/>
    <x v="0"/>
  </r>
  <r>
    <x v="0"/>
    <s v="遠賀郡芦屋町"/>
    <x v="51"/>
    <x v="4"/>
    <n v="4"/>
    <n v="1.23"/>
    <n v="1"/>
    <n v="0.49"/>
    <n v="3"/>
    <n v="2.68"/>
    <x v="0"/>
  </r>
  <r>
    <x v="0"/>
    <s v="遠賀郡芦屋町"/>
    <x v="51"/>
    <x v="5"/>
    <n v="0"/>
    <n v="0"/>
    <n v="0"/>
    <n v="0"/>
    <n v="0"/>
    <n v="0"/>
    <x v="0"/>
  </r>
  <r>
    <x v="0"/>
    <s v="遠賀郡芦屋町"/>
    <x v="51"/>
    <x v="6"/>
    <n v="70"/>
    <n v="21.47"/>
    <n v="51"/>
    <n v="24.88"/>
    <n v="19"/>
    <n v="16.96"/>
    <x v="0"/>
  </r>
  <r>
    <x v="0"/>
    <s v="遠賀郡芦屋町"/>
    <x v="51"/>
    <x v="7"/>
    <n v="4"/>
    <n v="1.23"/>
    <n v="1"/>
    <n v="0.49"/>
    <n v="3"/>
    <n v="2.68"/>
    <x v="0"/>
  </r>
  <r>
    <x v="0"/>
    <s v="遠賀郡芦屋町"/>
    <x v="51"/>
    <x v="8"/>
    <n v="21"/>
    <n v="6.44"/>
    <n v="9"/>
    <n v="4.3899999999999997"/>
    <n v="8"/>
    <n v="7.14"/>
    <x v="10"/>
  </r>
  <r>
    <x v="0"/>
    <s v="遠賀郡芦屋町"/>
    <x v="51"/>
    <x v="9"/>
    <n v="4"/>
    <n v="1.23"/>
    <n v="2"/>
    <n v="0.98"/>
    <n v="2"/>
    <n v="1.79"/>
    <x v="0"/>
  </r>
  <r>
    <x v="0"/>
    <s v="遠賀郡芦屋町"/>
    <x v="51"/>
    <x v="10"/>
    <n v="65"/>
    <n v="19.940000000000001"/>
    <n v="58"/>
    <n v="28.29"/>
    <n v="6"/>
    <n v="5.36"/>
    <x v="0"/>
  </r>
  <r>
    <x v="0"/>
    <s v="遠賀郡芦屋町"/>
    <x v="51"/>
    <x v="11"/>
    <n v="44"/>
    <n v="13.5"/>
    <n v="40"/>
    <n v="19.510000000000002"/>
    <n v="3"/>
    <n v="2.68"/>
    <x v="0"/>
  </r>
  <r>
    <x v="0"/>
    <s v="遠賀郡芦屋町"/>
    <x v="51"/>
    <x v="12"/>
    <n v="5"/>
    <n v="1.53"/>
    <n v="3"/>
    <n v="1.46"/>
    <n v="2"/>
    <n v="1.79"/>
    <x v="0"/>
  </r>
  <r>
    <x v="0"/>
    <s v="遠賀郡芦屋町"/>
    <x v="51"/>
    <x v="13"/>
    <n v="15"/>
    <n v="4.5999999999999996"/>
    <n v="4"/>
    <n v="1.95"/>
    <n v="9"/>
    <n v="8.0399999999999991"/>
    <x v="0"/>
  </r>
  <r>
    <x v="0"/>
    <s v="遠賀郡芦屋町"/>
    <x v="51"/>
    <x v="14"/>
    <n v="13"/>
    <n v="3.99"/>
    <n v="7"/>
    <n v="3.41"/>
    <n v="5"/>
    <n v="4.46"/>
    <x v="0"/>
  </r>
  <r>
    <x v="0"/>
    <s v="遠賀郡水巻町"/>
    <x v="52"/>
    <x v="0"/>
    <n v="0"/>
    <n v="0"/>
    <n v="0"/>
    <n v="0"/>
    <n v="0"/>
    <n v="0"/>
    <x v="0"/>
  </r>
  <r>
    <x v="0"/>
    <s v="遠賀郡水巻町"/>
    <x v="52"/>
    <x v="1"/>
    <n v="115"/>
    <n v="22.42"/>
    <n v="24"/>
    <n v="8.25"/>
    <n v="91"/>
    <n v="41.74"/>
    <x v="0"/>
  </r>
  <r>
    <x v="0"/>
    <s v="遠賀郡水巻町"/>
    <x v="52"/>
    <x v="2"/>
    <n v="23"/>
    <n v="4.4800000000000004"/>
    <n v="13"/>
    <n v="4.47"/>
    <n v="10"/>
    <n v="4.59"/>
    <x v="0"/>
  </r>
  <r>
    <x v="0"/>
    <s v="遠賀郡水巻町"/>
    <x v="52"/>
    <x v="3"/>
    <n v="0"/>
    <n v="0"/>
    <n v="0"/>
    <n v="0"/>
    <n v="0"/>
    <n v="0"/>
    <x v="0"/>
  </r>
  <r>
    <x v="0"/>
    <s v="遠賀郡水巻町"/>
    <x v="52"/>
    <x v="4"/>
    <n v="3"/>
    <n v="0.57999999999999996"/>
    <n v="0"/>
    <n v="0"/>
    <n v="3"/>
    <n v="1.38"/>
    <x v="0"/>
  </r>
  <r>
    <x v="0"/>
    <s v="遠賀郡水巻町"/>
    <x v="52"/>
    <x v="5"/>
    <n v="4"/>
    <n v="0.78"/>
    <n v="2"/>
    <n v="0.69"/>
    <n v="2"/>
    <n v="0.92"/>
    <x v="0"/>
  </r>
  <r>
    <x v="0"/>
    <s v="遠賀郡水巻町"/>
    <x v="52"/>
    <x v="6"/>
    <n v="101"/>
    <n v="19.690000000000001"/>
    <n v="66"/>
    <n v="22.68"/>
    <n v="35"/>
    <n v="16.059999999999999"/>
    <x v="0"/>
  </r>
  <r>
    <x v="0"/>
    <s v="遠賀郡水巻町"/>
    <x v="52"/>
    <x v="7"/>
    <n v="2"/>
    <n v="0.39"/>
    <n v="0"/>
    <n v="0"/>
    <n v="2"/>
    <n v="0.92"/>
    <x v="0"/>
  </r>
  <r>
    <x v="0"/>
    <s v="遠賀郡水巻町"/>
    <x v="52"/>
    <x v="8"/>
    <n v="39"/>
    <n v="7.6"/>
    <n v="15"/>
    <n v="5.15"/>
    <n v="24"/>
    <n v="11.01"/>
    <x v="0"/>
  </r>
  <r>
    <x v="0"/>
    <s v="遠賀郡水巻町"/>
    <x v="52"/>
    <x v="9"/>
    <n v="20"/>
    <n v="3.9"/>
    <n v="12"/>
    <n v="4.12"/>
    <n v="8"/>
    <n v="3.67"/>
    <x v="0"/>
  </r>
  <r>
    <x v="0"/>
    <s v="遠賀郡水巻町"/>
    <x v="52"/>
    <x v="10"/>
    <n v="54"/>
    <n v="10.53"/>
    <n v="48"/>
    <n v="16.489999999999998"/>
    <n v="5"/>
    <n v="2.29"/>
    <x v="0"/>
  </r>
  <r>
    <x v="0"/>
    <s v="遠賀郡水巻町"/>
    <x v="52"/>
    <x v="11"/>
    <n v="71"/>
    <n v="13.84"/>
    <n v="56"/>
    <n v="19.239999999999998"/>
    <n v="15"/>
    <n v="6.88"/>
    <x v="0"/>
  </r>
  <r>
    <x v="0"/>
    <s v="遠賀郡水巻町"/>
    <x v="52"/>
    <x v="12"/>
    <n v="22"/>
    <n v="4.29"/>
    <n v="19"/>
    <n v="6.53"/>
    <n v="2"/>
    <n v="0.92"/>
    <x v="0"/>
  </r>
  <r>
    <x v="0"/>
    <s v="遠賀郡水巻町"/>
    <x v="52"/>
    <x v="13"/>
    <n v="32"/>
    <n v="6.24"/>
    <n v="18"/>
    <n v="6.19"/>
    <n v="12"/>
    <n v="5.5"/>
    <x v="0"/>
  </r>
  <r>
    <x v="0"/>
    <s v="遠賀郡水巻町"/>
    <x v="52"/>
    <x v="14"/>
    <n v="27"/>
    <n v="5.26"/>
    <n v="18"/>
    <n v="6.19"/>
    <n v="9"/>
    <n v="4.13"/>
    <x v="0"/>
  </r>
  <r>
    <x v="0"/>
    <s v="遠賀郡岡垣町"/>
    <x v="53"/>
    <x v="0"/>
    <n v="0"/>
    <n v="0"/>
    <n v="0"/>
    <n v="0"/>
    <n v="0"/>
    <n v="0"/>
    <x v="0"/>
  </r>
  <r>
    <x v="0"/>
    <s v="遠賀郡岡垣町"/>
    <x v="53"/>
    <x v="1"/>
    <n v="124"/>
    <n v="23.44"/>
    <n v="35"/>
    <n v="12.41"/>
    <n v="89"/>
    <n v="36.33"/>
    <x v="0"/>
  </r>
  <r>
    <x v="0"/>
    <s v="遠賀郡岡垣町"/>
    <x v="53"/>
    <x v="2"/>
    <n v="31"/>
    <n v="5.86"/>
    <n v="10"/>
    <n v="3.55"/>
    <n v="21"/>
    <n v="8.57"/>
    <x v="0"/>
  </r>
  <r>
    <x v="0"/>
    <s v="遠賀郡岡垣町"/>
    <x v="53"/>
    <x v="3"/>
    <n v="0"/>
    <n v="0"/>
    <n v="0"/>
    <n v="0"/>
    <n v="0"/>
    <n v="0"/>
    <x v="0"/>
  </r>
  <r>
    <x v="0"/>
    <s v="遠賀郡岡垣町"/>
    <x v="53"/>
    <x v="4"/>
    <n v="5"/>
    <n v="0.95"/>
    <n v="0"/>
    <n v="0"/>
    <n v="5"/>
    <n v="2.04"/>
    <x v="0"/>
  </r>
  <r>
    <x v="0"/>
    <s v="遠賀郡岡垣町"/>
    <x v="53"/>
    <x v="5"/>
    <n v="6"/>
    <n v="1.1299999999999999"/>
    <n v="1"/>
    <n v="0.35"/>
    <n v="5"/>
    <n v="2.04"/>
    <x v="0"/>
  </r>
  <r>
    <x v="0"/>
    <s v="遠賀郡岡垣町"/>
    <x v="53"/>
    <x v="6"/>
    <n v="116"/>
    <n v="21.93"/>
    <n v="71"/>
    <n v="25.18"/>
    <n v="45"/>
    <n v="18.37"/>
    <x v="0"/>
  </r>
  <r>
    <x v="0"/>
    <s v="遠賀郡岡垣町"/>
    <x v="53"/>
    <x v="7"/>
    <n v="4"/>
    <n v="0.76"/>
    <n v="0"/>
    <n v="0"/>
    <n v="4"/>
    <n v="1.63"/>
    <x v="0"/>
  </r>
  <r>
    <x v="0"/>
    <s v="遠賀郡岡垣町"/>
    <x v="53"/>
    <x v="8"/>
    <n v="23"/>
    <n v="4.3499999999999996"/>
    <n v="7"/>
    <n v="2.48"/>
    <n v="16"/>
    <n v="6.53"/>
    <x v="0"/>
  </r>
  <r>
    <x v="0"/>
    <s v="遠賀郡岡垣町"/>
    <x v="53"/>
    <x v="9"/>
    <n v="24"/>
    <n v="4.54"/>
    <n v="16"/>
    <n v="5.67"/>
    <n v="8"/>
    <n v="3.27"/>
    <x v="0"/>
  </r>
  <r>
    <x v="0"/>
    <s v="遠賀郡岡垣町"/>
    <x v="53"/>
    <x v="10"/>
    <n v="49"/>
    <n v="9.26"/>
    <n v="39"/>
    <n v="13.83"/>
    <n v="9"/>
    <n v="3.67"/>
    <x v="0"/>
  </r>
  <r>
    <x v="0"/>
    <s v="遠賀郡岡垣町"/>
    <x v="53"/>
    <x v="11"/>
    <n v="74"/>
    <n v="13.99"/>
    <n v="60"/>
    <n v="21.28"/>
    <n v="14"/>
    <n v="5.71"/>
    <x v="0"/>
  </r>
  <r>
    <x v="0"/>
    <s v="遠賀郡岡垣町"/>
    <x v="53"/>
    <x v="12"/>
    <n v="24"/>
    <n v="4.54"/>
    <n v="20"/>
    <n v="7.09"/>
    <n v="4"/>
    <n v="1.63"/>
    <x v="0"/>
  </r>
  <r>
    <x v="0"/>
    <s v="遠賀郡岡垣町"/>
    <x v="53"/>
    <x v="13"/>
    <n v="24"/>
    <n v="4.54"/>
    <n v="9"/>
    <n v="3.19"/>
    <n v="15"/>
    <n v="6.12"/>
    <x v="0"/>
  </r>
  <r>
    <x v="0"/>
    <s v="遠賀郡岡垣町"/>
    <x v="53"/>
    <x v="14"/>
    <n v="25"/>
    <n v="4.7300000000000004"/>
    <n v="14"/>
    <n v="4.96"/>
    <n v="10"/>
    <n v="4.08"/>
    <x v="0"/>
  </r>
  <r>
    <x v="0"/>
    <s v="遠賀郡遠賀町"/>
    <x v="54"/>
    <x v="0"/>
    <n v="0"/>
    <n v="0"/>
    <n v="0"/>
    <n v="0"/>
    <n v="0"/>
    <n v="0"/>
    <x v="0"/>
  </r>
  <r>
    <x v="0"/>
    <s v="遠賀郡遠賀町"/>
    <x v="54"/>
    <x v="1"/>
    <n v="105"/>
    <n v="20.39"/>
    <n v="34"/>
    <n v="11.97"/>
    <n v="71"/>
    <n v="31"/>
    <x v="0"/>
  </r>
  <r>
    <x v="0"/>
    <s v="遠賀郡遠賀町"/>
    <x v="54"/>
    <x v="2"/>
    <n v="53"/>
    <n v="10.29"/>
    <n v="15"/>
    <n v="5.28"/>
    <n v="38"/>
    <n v="16.59"/>
    <x v="0"/>
  </r>
  <r>
    <x v="0"/>
    <s v="遠賀郡遠賀町"/>
    <x v="54"/>
    <x v="3"/>
    <n v="0"/>
    <n v="0"/>
    <n v="0"/>
    <n v="0"/>
    <n v="0"/>
    <n v="0"/>
    <x v="0"/>
  </r>
  <r>
    <x v="0"/>
    <s v="遠賀郡遠賀町"/>
    <x v="54"/>
    <x v="4"/>
    <n v="2"/>
    <n v="0.39"/>
    <n v="1"/>
    <n v="0.35"/>
    <n v="1"/>
    <n v="0.44"/>
    <x v="0"/>
  </r>
  <r>
    <x v="0"/>
    <s v="遠賀郡遠賀町"/>
    <x v="54"/>
    <x v="5"/>
    <n v="2"/>
    <n v="0.39"/>
    <n v="0"/>
    <n v="0"/>
    <n v="2"/>
    <n v="0.87"/>
    <x v="0"/>
  </r>
  <r>
    <x v="0"/>
    <s v="遠賀郡遠賀町"/>
    <x v="54"/>
    <x v="6"/>
    <n v="113"/>
    <n v="21.94"/>
    <n v="61"/>
    <n v="21.48"/>
    <n v="52"/>
    <n v="22.71"/>
    <x v="0"/>
  </r>
  <r>
    <x v="0"/>
    <s v="遠賀郡遠賀町"/>
    <x v="54"/>
    <x v="7"/>
    <n v="3"/>
    <n v="0.57999999999999996"/>
    <n v="0"/>
    <n v="0"/>
    <n v="3"/>
    <n v="1.31"/>
    <x v="0"/>
  </r>
  <r>
    <x v="0"/>
    <s v="遠賀郡遠賀町"/>
    <x v="54"/>
    <x v="8"/>
    <n v="25"/>
    <n v="4.8499999999999996"/>
    <n v="12"/>
    <n v="4.2300000000000004"/>
    <n v="13"/>
    <n v="5.68"/>
    <x v="0"/>
  </r>
  <r>
    <x v="0"/>
    <s v="遠賀郡遠賀町"/>
    <x v="54"/>
    <x v="9"/>
    <n v="16"/>
    <n v="3.11"/>
    <n v="9"/>
    <n v="3.17"/>
    <n v="7"/>
    <n v="3.06"/>
    <x v="0"/>
  </r>
  <r>
    <x v="0"/>
    <s v="遠賀郡遠賀町"/>
    <x v="54"/>
    <x v="10"/>
    <n v="62"/>
    <n v="12.04"/>
    <n v="54"/>
    <n v="19.010000000000002"/>
    <n v="7"/>
    <n v="3.06"/>
    <x v="0"/>
  </r>
  <r>
    <x v="0"/>
    <s v="遠賀郡遠賀町"/>
    <x v="54"/>
    <x v="11"/>
    <n v="59"/>
    <n v="11.46"/>
    <n v="47"/>
    <n v="16.55"/>
    <n v="12"/>
    <n v="5.24"/>
    <x v="0"/>
  </r>
  <r>
    <x v="0"/>
    <s v="遠賀郡遠賀町"/>
    <x v="54"/>
    <x v="12"/>
    <n v="15"/>
    <n v="2.91"/>
    <n v="10"/>
    <n v="3.52"/>
    <n v="4"/>
    <n v="1.75"/>
    <x v="0"/>
  </r>
  <r>
    <x v="0"/>
    <s v="遠賀郡遠賀町"/>
    <x v="54"/>
    <x v="13"/>
    <n v="22"/>
    <n v="4.2699999999999996"/>
    <n v="13"/>
    <n v="4.58"/>
    <n v="9"/>
    <n v="3.93"/>
    <x v="0"/>
  </r>
  <r>
    <x v="0"/>
    <s v="遠賀郡遠賀町"/>
    <x v="54"/>
    <x v="14"/>
    <n v="38"/>
    <n v="7.38"/>
    <n v="28"/>
    <n v="9.86"/>
    <n v="10"/>
    <n v="4.37"/>
    <x v="0"/>
  </r>
  <r>
    <x v="0"/>
    <s v="鞍手郡小竹町"/>
    <x v="55"/>
    <x v="0"/>
    <n v="0"/>
    <n v="0"/>
    <n v="0"/>
    <n v="0"/>
    <n v="0"/>
    <n v="0"/>
    <x v="0"/>
  </r>
  <r>
    <x v="0"/>
    <s v="鞍手郡小竹町"/>
    <x v="55"/>
    <x v="1"/>
    <n v="33"/>
    <n v="25.19"/>
    <n v="11"/>
    <n v="17.190000000000001"/>
    <n v="22"/>
    <n v="33.33"/>
    <x v="0"/>
  </r>
  <r>
    <x v="0"/>
    <s v="鞍手郡小竹町"/>
    <x v="55"/>
    <x v="2"/>
    <n v="23"/>
    <n v="17.559999999999999"/>
    <n v="10"/>
    <n v="15.63"/>
    <n v="13"/>
    <n v="19.7"/>
    <x v="0"/>
  </r>
  <r>
    <x v="0"/>
    <s v="鞍手郡小竹町"/>
    <x v="55"/>
    <x v="3"/>
    <n v="0"/>
    <n v="0"/>
    <n v="0"/>
    <n v="0"/>
    <n v="0"/>
    <n v="0"/>
    <x v="0"/>
  </r>
  <r>
    <x v="0"/>
    <s v="鞍手郡小竹町"/>
    <x v="55"/>
    <x v="4"/>
    <n v="0"/>
    <n v="0"/>
    <n v="0"/>
    <n v="0"/>
    <n v="0"/>
    <n v="0"/>
    <x v="0"/>
  </r>
  <r>
    <x v="0"/>
    <s v="鞍手郡小竹町"/>
    <x v="55"/>
    <x v="5"/>
    <n v="3"/>
    <n v="2.29"/>
    <n v="1"/>
    <n v="1.56"/>
    <n v="2"/>
    <n v="3.03"/>
    <x v="0"/>
  </r>
  <r>
    <x v="0"/>
    <s v="鞍手郡小竹町"/>
    <x v="55"/>
    <x v="6"/>
    <n v="32"/>
    <n v="24.43"/>
    <n v="21"/>
    <n v="32.81"/>
    <n v="10"/>
    <n v="15.15"/>
    <x v="1"/>
  </r>
  <r>
    <x v="0"/>
    <s v="鞍手郡小竹町"/>
    <x v="55"/>
    <x v="7"/>
    <n v="0"/>
    <n v="0"/>
    <n v="0"/>
    <n v="0"/>
    <n v="0"/>
    <n v="0"/>
    <x v="0"/>
  </r>
  <r>
    <x v="0"/>
    <s v="鞍手郡小竹町"/>
    <x v="55"/>
    <x v="8"/>
    <n v="3"/>
    <n v="2.29"/>
    <n v="0"/>
    <n v="0"/>
    <n v="3"/>
    <n v="4.55"/>
    <x v="0"/>
  </r>
  <r>
    <x v="0"/>
    <s v="鞍手郡小竹町"/>
    <x v="55"/>
    <x v="9"/>
    <n v="4"/>
    <n v="3.05"/>
    <n v="2"/>
    <n v="3.13"/>
    <n v="2"/>
    <n v="3.03"/>
    <x v="0"/>
  </r>
  <r>
    <x v="0"/>
    <s v="鞍手郡小竹町"/>
    <x v="55"/>
    <x v="10"/>
    <n v="1"/>
    <n v="0.76"/>
    <n v="1"/>
    <n v="1.56"/>
    <n v="0"/>
    <n v="0"/>
    <x v="0"/>
  </r>
  <r>
    <x v="0"/>
    <s v="鞍手郡小竹町"/>
    <x v="55"/>
    <x v="11"/>
    <n v="14"/>
    <n v="10.69"/>
    <n v="13"/>
    <n v="20.309999999999999"/>
    <n v="1"/>
    <n v="1.52"/>
    <x v="0"/>
  </r>
  <r>
    <x v="0"/>
    <s v="鞍手郡小竹町"/>
    <x v="55"/>
    <x v="12"/>
    <n v="2"/>
    <n v="1.53"/>
    <n v="0"/>
    <n v="0"/>
    <n v="2"/>
    <n v="3.03"/>
    <x v="0"/>
  </r>
  <r>
    <x v="0"/>
    <s v="鞍手郡小竹町"/>
    <x v="55"/>
    <x v="13"/>
    <n v="9"/>
    <n v="6.87"/>
    <n v="2"/>
    <n v="3.13"/>
    <n v="7"/>
    <n v="10.61"/>
    <x v="0"/>
  </r>
  <r>
    <x v="0"/>
    <s v="鞍手郡小竹町"/>
    <x v="55"/>
    <x v="14"/>
    <n v="7"/>
    <n v="5.34"/>
    <n v="3"/>
    <n v="4.6900000000000004"/>
    <n v="4"/>
    <n v="6.06"/>
    <x v="0"/>
  </r>
  <r>
    <x v="0"/>
    <s v="鞍手郡鞍手町"/>
    <x v="56"/>
    <x v="0"/>
    <n v="0"/>
    <n v="0"/>
    <n v="0"/>
    <n v="0"/>
    <n v="0"/>
    <n v="0"/>
    <x v="0"/>
  </r>
  <r>
    <x v="0"/>
    <s v="鞍手郡鞍手町"/>
    <x v="56"/>
    <x v="1"/>
    <n v="84"/>
    <n v="24.71"/>
    <n v="23"/>
    <n v="13.69"/>
    <n v="61"/>
    <n v="35.880000000000003"/>
    <x v="0"/>
  </r>
  <r>
    <x v="0"/>
    <s v="鞍手郡鞍手町"/>
    <x v="56"/>
    <x v="2"/>
    <n v="44"/>
    <n v="12.94"/>
    <n v="10"/>
    <n v="5.95"/>
    <n v="34"/>
    <n v="20"/>
    <x v="0"/>
  </r>
  <r>
    <x v="0"/>
    <s v="鞍手郡鞍手町"/>
    <x v="56"/>
    <x v="3"/>
    <n v="2"/>
    <n v="0.59"/>
    <n v="0"/>
    <n v="0"/>
    <n v="2"/>
    <n v="1.18"/>
    <x v="0"/>
  </r>
  <r>
    <x v="0"/>
    <s v="鞍手郡鞍手町"/>
    <x v="56"/>
    <x v="4"/>
    <n v="0"/>
    <n v="0"/>
    <n v="0"/>
    <n v="0"/>
    <n v="0"/>
    <n v="0"/>
    <x v="0"/>
  </r>
  <r>
    <x v="0"/>
    <s v="鞍手郡鞍手町"/>
    <x v="56"/>
    <x v="5"/>
    <n v="5"/>
    <n v="1.47"/>
    <n v="0"/>
    <n v="0"/>
    <n v="5"/>
    <n v="2.94"/>
    <x v="0"/>
  </r>
  <r>
    <x v="0"/>
    <s v="鞍手郡鞍手町"/>
    <x v="56"/>
    <x v="6"/>
    <n v="67"/>
    <n v="19.71"/>
    <n v="39"/>
    <n v="23.21"/>
    <n v="28"/>
    <n v="16.47"/>
    <x v="0"/>
  </r>
  <r>
    <x v="0"/>
    <s v="鞍手郡鞍手町"/>
    <x v="56"/>
    <x v="7"/>
    <n v="1"/>
    <n v="0.28999999999999998"/>
    <n v="0"/>
    <n v="0"/>
    <n v="1"/>
    <n v="0.59"/>
    <x v="0"/>
  </r>
  <r>
    <x v="0"/>
    <s v="鞍手郡鞍手町"/>
    <x v="56"/>
    <x v="8"/>
    <n v="11"/>
    <n v="3.24"/>
    <n v="2"/>
    <n v="1.19"/>
    <n v="9"/>
    <n v="5.29"/>
    <x v="0"/>
  </r>
  <r>
    <x v="0"/>
    <s v="鞍手郡鞍手町"/>
    <x v="56"/>
    <x v="9"/>
    <n v="9"/>
    <n v="2.65"/>
    <n v="7"/>
    <n v="4.17"/>
    <n v="2"/>
    <n v="1.18"/>
    <x v="0"/>
  </r>
  <r>
    <x v="0"/>
    <s v="鞍手郡鞍手町"/>
    <x v="56"/>
    <x v="10"/>
    <n v="30"/>
    <n v="8.82"/>
    <n v="25"/>
    <n v="14.88"/>
    <n v="4"/>
    <n v="2.35"/>
    <x v="0"/>
  </r>
  <r>
    <x v="0"/>
    <s v="鞍手郡鞍手町"/>
    <x v="56"/>
    <x v="11"/>
    <n v="38"/>
    <n v="11.18"/>
    <n v="30"/>
    <n v="17.86"/>
    <n v="8"/>
    <n v="4.71"/>
    <x v="0"/>
  </r>
  <r>
    <x v="0"/>
    <s v="鞍手郡鞍手町"/>
    <x v="56"/>
    <x v="12"/>
    <n v="10"/>
    <n v="2.94"/>
    <n v="8"/>
    <n v="4.76"/>
    <n v="1"/>
    <n v="0.59"/>
    <x v="0"/>
  </r>
  <r>
    <x v="0"/>
    <s v="鞍手郡鞍手町"/>
    <x v="56"/>
    <x v="13"/>
    <n v="17"/>
    <n v="5"/>
    <n v="7"/>
    <n v="4.17"/>
    <n v="10"/>
    <n v="5.88"/>
    <x v="0"/>
  </r>
  <r>
    <x v="0"/>
    <s v="鞍手郡鞍手町"/>
    <x v="56"/>
    <x v="14"/>
    <n v="22"/>
    <n v="6.47"/>
    <n v="17"/>
    <n v="10.119999999999999"/>
    <n v="5"/>
    <n v="2.94"/>
    <x v="0"/>
  </r>
  <r>
    <x v="0"/>
    <s v="嘉穂郡桂川町"/>
    <x v="57"/>
    <x v="0"/>
    <n v="0"/>
    <n v="0"/>
    <n v="0"/>
    <n v="0"/>
    <n v="0"/>
    <n v="0"/>
    <x v="0"/>
  </r>
  <r>
    <x v="0"/>
    <s v="嘉穂郡桂川町"/>
    <x v="57"/>
    <x v="1"/>
    <n v="35"/>
    <n v="16.2"/>
    <n v="16"/>
    <n v="11.43"/>
    <n v="19"/>
    <n v="26.03"/>
    <x v="0"/>
  </r>
  <r>
    <x v="0"/>
    <s v="嘉穂郡桂川町"/>
    <x v="57"/>
    <x v="2"/>
    <n v="11"/>
    <n v="5.09"/>
    <n v="5"/>
    <n v="3.57"/>
    <n v="6"/>
    <n v="8.2200000000000006"/>
    <x v="0"/>
  </r>
  <r>
    <x v="0"/>
    <s v="嘉穂郡桂川町"/>
    <x v="57"/>
    <x v="3"/>
    <n v="3"/>
    <n v="1.39"/>
    <n v="0"/>
    <n v="0"/>
    <n v="3"/>
    <n v="4.1100000000000003"/>
    <x v="0"/>
  </r>
  <r>
    <x v="0"/>
    <s v="嘉穂郡桂川町"/>
    <x v="57"/>
    <x v="4"/>
    <n v="1"/>
    <n v="0.46"/>
    <n v="0"/>
    <n v="0"/>
    <n v="1"/>
    <n v="1.37"/>
    <x v="0"/>
  </r>
  <r>
    <x v="0"/>
    <s v="嘉穂郡桂川町"/>
    <x v="57"/>
    <x v="5"/>
    <n v="0"/>
    <n v="0"/>
    <n v="0"/>
    <n v="0"/>
    <n v="0"/>
    <n v="0"/>
    <x v="0"/>
  </r>
  <r>
    <x v="0"/>
    <s v="嘉穂郡桂川町"/>
    <x v="57"/>
    <x v="6"/>
    <n v="44"/>
    <n v="20.37"/>
    <n v="28"/>
    <n v="20"/>
    <n v="16"/>
    <n v="21.92"/>
    <x v="0"/>
  </r>
  <r>
    <x v="0"/>
    <s v="嘉穂郡桂川町"/>
    <x v="57"/>
    <x v="7"/>
    <n v="0"/>
    <n v="0"/>
    <n v="0"/>
    <n v="0"/>
    <n v="0"/>
    <n v="0"/>
    <x v="0"/>
  </r>
  <r>
    <x v="0"/>
    <s v="嘉穂郡桂川町"/>
    <x v="57"/>
    <x v="8"/>
    <n v="20"/>
    <n v="9.26"/>
    <n v="14"/>
    <n v="10"/>
    <n v="6"/>
    <n v="8.2200000000000006"/>
    <x v="0"/>
  </r>
  <r>
    <x v="0"/>
    <s v="嘉穂郡桂川町"/>
    <x v="57"/>
    <x v="9"/>
    <n v="10"/>
    <n v="4.63"/>
    <n v="5"/>
    <n v="3.57"/>
    <n v="5"/>
    <n v="6.85"/>
    <x v="0"/>
  </r>
  <r>
    <x v="0"/>
    <s v="嘉穂郡桂川町"/>
    <x v="57"/>
    <x v="10"/>
    <n v="29"/>
    <n v="13.43"/>
    <n v="28"/>
    <n v="20"/>
    <n v="1"/>
    <n v="1.37"/>
    <x v="0"/>
  </r>
  <r>
    <x v="0"/>
    <s v="嘉穂郡桂川町"/>
    <x v="57"/>
    <x v="11"/>
    <n v="37"/>
    <n v="17.13"/>
    <n v="29"/>
    <n v="20.71"/>
    <n v="7"/>
    <n v="9.59"/>
    <x v="0"/>
  </r>
  <r>
    <x v="0"/>
    <s v="嘉穂郡桂川町"/>
    <x v="57"/>
    <x v="12"/>
    <n v="4"/>
    <n v="1.85"/>
    <n v="4"/>
    <n v="2.86"/>
    <n v="0"/>
    <n v="0"/>
    <x v="0"/>
  </r>
  <r>
    <x v="0"/>
    <s v="嘉穂郡桂川町"/>
    <x v="57"/>
    <x v="13"/>
    <n v="14"/>
    <n v="6.48"/>
    <n v="6"/>
    <n v="4.29"/>
    <n v="7"/>
    <n v="9.59"/>
    <x v="0"/>
  </r>
  <r>
    <x v="0"/>
    <s v="嘉穂郡桂川町"/>
    <x v="57"/>
    <x v="14"/>
    <n v="8"/>
    <n v="3.7"/>
    <n v="5"/>
    <n v="3.57"/>
    <n v="2"/>
    <n v="2.74"/>
    <x v="0"/>
  </r>
  <r>
    <x v="0"/>
    <s v="朝倉郡筑前町"/>
    <x v="58"/>
    <x v="0"/>
    <n v="0"/>
    <n v="0"/>
    <n v="0"/>
    <n v="0"/>
    <n v="0"/>
    <n v="0"/>
    <x v="0"/>
  </r>
  <r>
    <x v="0"/>
    <s v="朝倉郡筑前町"/>
    <x v="58"/>
    <x v="1"/>
    <n v="114"/>
    <n v="23.95"/>
    <n v="52"/>
    <n v="19.77"/>
    <n v="62"/>
    <n v="29.81"/>
    <x v="0"/>
  </r>
  <r>
    <x v="0"/>
    <s v="朝倉郡筑前町"/>
    <x v="58"/>
    <x v="2"/>
    <n v="49"/>
    <n v="10.29"/>
    <n v="19"/>
    <n v="7.22"/>
    <n v="30"/>
    <n v="14.42"/>
    <x v="0"/>
  </r>
  <r>
    <x v="0"/>
    <s v="朝倉郡筑前町"/>
    <x v="58"/>
    <x v="3"/>
    <n v="2"/>
    <n v="0.42"/>
    <n v="0"/>
    <n v="0"/>
    <n v="2"/>
    <n v="0.96"/>
    <x v="0"/>
  </r>
  <r>
    <x v="0"/>
    <s v="朝倉郡筑前町"/>
    <x v="58"/>
    <x v="4"/>
    <n v="2"/>
    <n v="0.42"/>
    <n v="0"/>
    <n v="0"/>
    <n v="2"/>
    <n v="0.96"/>
    <x v="0"/>
  </r>
  <r>
    <x v="0"/>
    <s v="朝倉郡筑前町"/>
    <x v="58"/>
    <x v="5"/>
    <n v="4"/>
    <n v="0.84"/>
    <n v="0"/>
    <n v="0"/>
    <n v="4"/>
    <n v="1.92"/>
    <x v="0"/>
  </r>
  <r>
    <x v="0"/>
    <s v="朝倉郡筑前町"/>
    <x v="58"/>
    <x v="6"/>
    <n v="124"/>
    <n v="26.05"/>
    <n v="70"/>
    <n v="26.62"/>
    <n v="54"/>
    <n v="25.96"/>
    <x v="0"/>
  </r>
  <r>
    <x v="0"/>
    <s v="朝倉郡筑前町"/>
    <x v="58"/>
    <x v="7"/>
    <n v="1"/>
    <n v="0.21"/>
    <n v="0"/>
    <n v="0"/>
    <n v="1"/>
    <n v="0.48"/>
    <x v="0"/>
  </r>
  <r>
    <x v="0"/>
    <s v="朝倉郡筑前町"/>
    <x v="58"/>
    <x v="8"/>
    <n v="23"/>
    <n v="4.83"/>
    <n v="8"/>
    <n v="3.04"/>
    <n v="15"/>
    <n v="7.21"/>
    <x v="0"/>
  </r>
  <r>
    <x v="0"/>
    <s v="朝倉郡筑前町"/>
    <x v="58"/>
    <x v="9"/>
    <n v="11"/>
    <n v="2.31"/>
    <n v="6"/>
    <n v="2.2799999999999998"/>
    <n v="5"/>
    <n v="2.4"/>
    <x v="0"/>
  </r>
  <r>
    <x v="0"/>
    <s v="朝倉郡筑前町"/>
    <x v="58"/>
    <x v="10"/>
    <n v="38"/>
    <n v="7.98"/>
    <n v="32"/>
    <n v="12.17"/>
    <n v="6"/>
    <n v="2.88"/>
    <x v="0"/>
  </r>
  <r>
    <x v="0"/>
    <s v="朝倉郡筑前町"/>
    <x v="58"/>
    <x v="11"/>
    <n v="53"/>
    <n v="11.13"/>
    <n v="46"/>
    <n v="17.489999999999998"/>
    <n v="7"/>
    <n v="3.37"/>
    <x v="0"/>
  </r>
  <r>
    <x v="0"/>
    <s v="朝倉郡筑前町"/>
    <x v="58"/>
    <x v="12"/>
    <n v="11"/>
    <n v="2.31"/>
    <n v="7"/>
    <n v="2.66"/>
    <n v="2"/>
    <n v="0.96"/>
    <x v="0"/>
  </r>
  <r>
    <x v="0"/>
    <s v="朝倉郡筑前町"/>
    <x v="58"/>
    <x v="13"/>
    <n v="25"/>
    <n v="5.25"/>
    <n v="14"/>
    <n v="5.32"/>
    <n v="8"/>
    <n v="3.85"/>
    <x v="0"/>
  </r>
  <r>
    <x v="0"/>
    <s v="朝倉郡筑前町"/>
    <x v="58"/>
    <x v="14"/>
    <n v="19"/>
    <n v="3.99"/>
    <n v="9"/>
    <n v="3.42"/>
    <n v="10"/>
    <n v="4.8099999999999996"/>
    <x v="0"/>
  </r>
  <r>
    <x v="0"/>
    <s v="朝倉郡東峰村"/>
    <x v="59"/>
    <x v="0"/>
    <n v="0"/>
    <n v="0"/>
    <n v="0"/>
    <n v="0"/>
    <n v="0"/>
    <n v="0"/>
    <x v="0"/>
  </r>
  <r>
    <x v="0"/>
    <s v="朝倉郡東峰村"/>
    <x v="59"/>
    <x v="1"/>
    <n v="17"/>
    <n v="13.6"/>
    <n v="13"/>
    <n v="14.29"/>
    <n v="4"/>
    <n v="12.5"/>
    <x v="0"/>
  </r>
  <r>
    <x v="0"/>
    <s v="朝倉郡東峰村"/>
    <x v="59"/>
    <x v="2"/>
    <n v="34"/>
    <n v="27.2"/>
    <n v="18"/>
    <n v="19.78"/>
    <n v="15"/>
    <n v="46.88"/>
    <x v="1"/>
  </r>
  <r>
    <x v="0"/>
    <s v="朝倉郡東峰村"/>
    <x v="59"/>
    <x v="3"/>
    <n v="1"/>
    <n v="0.8"/>
    <n v="0"/>
    <n v="0"/>
    <n v="0"/>
    <n v="0"/>
    <x v="0"/>
  </r>
  <r>
    <x v="0"/>
    <s v="朝倉郡東峰村"/>
    <x v="59"/>
    <x v="4"/>
    <n v="0"/>
    <n v="0"/>
    <n v="0"/>
    <n v="0"/>
    <n v="0"/>
    <n v="0"/>
    <x v="0"/>
  </r>
  <r>
    <x v="0"/>
    <s v="朝倉郡東峰村"/>
    <x v="59"/>
    <x v="5"/>
    <n v="2"/>
    <n v="1.6"/>
    <n v="0"/>
    <n v="0"/>
    <n v="2"/>
    <n v="6.25"/>
    <x v="0"/>
  </r>
  <r>
    <x v="0"/>
    <s v="朝倉郡東峰村"/>
    <x v="59"/>
    <x v="6"/>
    <n v="36"/>
    <n v="28.8"/>
    <n v="30"/>
    <n v="32.97"/>
    <n v="6"/>
    <n v="18.75"/>
    <x v="0"/>
  </r>
  <r>
    <x v="0"/>
    <s v="朝倉郡東峰村"/>
    <x v="59"/>
    <x v="7"/>
    <n v="0"/>
    <n v="0"/>
    <n v="0"/>
    <n v="0"/>
    <n v="0"/>
    <n v="0"/>
    <x v="0"/>
  </r>
  <r>
    <x v="0"/>
    <s v="朝倉郡東峰村"/>
    <x v="59"/>
    <x v="8"/>
    <n v="0"/>
    <n v="0"/>
    <n v="0"/>
    <n v="0"/>
    <n v="0"/>
    <n v="0"/>
    <x v="0"/>
  </r>
  <r>
    <x v="0"/>
    <s v="朝倉郡東峰村"/>
    <x v="59"/>
    <x v="9"/>
    <n v="7"/>
    <n v="5.6"/>
    <n v="7"/>
    <n v="7.69"/>
    <n v="0"/>
    <n v="0"/>
    <x v="0"/>
  </r>
  <r>
    <x v="0"/>
    <s v="朝倉郡東峰村"/>
    <x v="59"/>
    <x v="10"/>
    <n v="13"/>
    <n v="10.4"/>
    <n v="10"/>
    <n v="10.99"/>
    <n v="3"/>
    <n v="9.3800000000000008"/>
    <x v="0"/>
  </r>
  <r>
    <x v="0"/>
    <s v="朝倉郡東峰村"/>
    <x v="59"/>
    <x v="11"/>
    <n v="6"/>
    <n v="4.8"/>
    <n v="6"/>
    <n v="6.59"/>
    <n v="0"/>
    <n v="0"/>
    <x v="0"/>
  </r>
  <r>
    <x v="0"/>
    <s v="朝倉郡東峰村"/>
    <x v="59"/>
    <x v="12"/>
    <n v="4"/>
    <n v="3.2"/>
    <n v="2"/>
    <n v="2.2000000000000002"/>
    <n v="2"/>
    <n v="6.25"/>
    <x v="0"/>
  </r>
  <r>
    <x v="0"/>
    <s v="朝倉郡東峰村"/>
    <x v="59"/>
    <x v="13"/>
    <n v="2"/>
    <n v="1.6"/>
    <n v="2"/>
    <n v="2.2000000000000002"/>
    <n v="0"/>
    <n v="0"/>
    <x v="0"/>
  </r>
  <r>
    <x v="0"/>
    <s v="朝倉郡東峰村"/>
    <x v="59"/>
    <x v="14"/>
    <n v="3"/>
    <n v="2.4"/>
    <n v="3"/>
    <n v="3.3"/>
    <n v="0"/>
    <n v="0"/>
    <x v="0"/>
  </r>
  <r>
    <x v="0"/>
    <s v="三井郡大刀洗町"/>
    <x v="60"/>
    <x v="0"/>
    <n v="0"/>
    <n v="0"/>
    <n v="0"/>
    <n v="0"/>
    <n v="0"/>
    <n v="0"/>
    <x v="0"/>
  </r>
  <r>
    <x v="0"/>
    <s v="三井郡大刀洗町"/>
    <x v="60"/>
    <x v="1"/>
    <n v="49"/>
    <n v="19.07"/>
    <n v="20"/>
    <n v="13.79"/>
    <n v="29"/>
    <n v="27.1"/>
    <x v="0"/>
  </r>
  <r>
    <x v="0"/>
    <s v="三井郡大刀洗町"/>
    <x v="60"/>
    <x v="2"/>
    <n v="25"/>
    <n v="9.73"/>
    <n v="7"/>
    <n v="4.83"/>
    <n v="18"/>
    <n v="16.82"/>
    <x v="0"/>
  </r>
  <r>
    <x v="0"/>
    <s v="三井郡大刀洗町"/>
    <x v="60"/>
    <x v="3"/>
    <n v="0"/>
    <n v="0"/>
    <n v="0"/>
    <n v="0"/>
    <n v="0"/>
    <n v="0"/>
    <x v="0"/>
  </r>
  <r>
    <x v="0"/>
    <s v="三井郡大刀洗町"/>
    <x v="60"/>
    <x v="4"/>
    <n v="0"/>
    <n v="0"/>
    <n v="0"/>
    <n v="0"/>
    <n v="0"/>
    <n v="0"/>
    <x v="0"/>
  </r>
  <r>
    <x v="0"/>
    <s v="三井郡大刀洗町"/>
    <x v="60"/>
    <x v="5"/>
    <n v="8"/>
    <n v="3.11"/>
    <n v="2"/>
    <n v="1.38"/>
    <n v="6"/>
    <n v="5.61"/>
    <x v="0"/>
  </r>
  <r>
    <x v="0"/>
    <s v="三井郡大刀洗町"/>
    <x v="60"/>
    <x v="6"/>
    <n v="66"/>
    <n v="25.68"/>
    <n v="38"/>
    <n v="26.21"/>
    <n v="28"/>
    <n v="26.17"/>
    <x v="0"/>
  </r>
  <r>
    <x v="0"/>
    <s v="三井郡大刀洗町"/>
    <x v="60"/>
    <x v="7"/>
    <n v="1"/>
    <n v="0.39"/>
    <n v="1"/>
    <n v="0.69"/>
    <n v="0"/>
    <n v="0"/>
    <x v="0"/>
  </r>
  <r>
    <x v="0"/>
    <s v="三井郡大刀洗町"/>
    <x v="60"/>
    <x v="8"/>
    <n v="8"/>
    <n v="3.11"/>
    <n v="2"/>
    <n v="1.38"/>
    <n v="6"/>
    <n v="5.61"/>
    <x v="0"/>
  </r>
  <r>
    <x v="0"/>
    <s v="三井郡大刀洗町"/>
    <x v="60"/>
    <x v="9"/>
    <n v="6"/>
    <n v="2.33"/>
    <n v="5"/>
    <n v="3.45"/>
    <n v="1"/>
    <n v="0.93"/>
    <x v="0"/>
  </r>
  <r>
    <x v="0"/>
    <s v="三井郡大刀洗町"/>
    <x v="60"/>
    <x v="10"/>
    <n v="11"/>
    <n v="4.28"/>
    <n v="10"/>
    <n v="6.9"/>
    <n v="1"/>
    <n v="0.93"/>
    <x v="0"/>
  </r>
  <r>
    <x v="0"/>
    <s v="三井郡大刀洗町"/>
    <x v="60"/>
    <x v="11"/>
    <n v="32"/>
    <n v="12.45"/>
    <n v="26"/>
    <n v="17.93"/>
    <n v="6"/>
    <n v="5.61"/>
    <x v="0"/>
  </r>
  <r>
    <x v="0"/>
    <s v="三井郡大刀洗町"/>
    <x v="60"/>
    <x v="12"/>
    <n v="10"/>
    <n v="3.89"/>
    <n v="10"/>
    <n v="6.9"/>
    <n v="0"/>
    <n v="0"/>
    <x v="0"/>
  </r>
  <r>
    <x v="0"/>
    <s v="三井郡大刀洗町"/>
    <x v="60"/>
    <x v="13"/>
    <n v="17"/>
    <n v="6.61"/>
    <n v="8"/>
    <n v="5.52"/>
    <n v="8"/>
    <n v="7.48"/>
    <x v="0"/>
  </r>
  <r>
    <x v="0"/>
    <s v="三井郡大刀洗町"/>
    <x v="60"/>
    <x v="14"/>
    <n v="24"/>
    <n v="9.34"/>
    <n v="16"/>
    <n v="11.03"/>
    <n v="4"/>
    <n v="3.74"/>
    <x v="14"/>
  </r>
  <r>
    <x v="0"/>
    <s v="三潴郡大木町"/>
    <x v="61"/>
    <x v="0"/>
    <n v="0"/>
    <n v="0"/>
    <n v="0"/>
    <n v="0"/>
    <n v="0"/>
    <n v="0"/>
    <x v="0"/>
  </r>
  <r>
    <x v="0"/>
    <s v="三潴郡大木町"/>
    <x v="61"/>
    <x v="1"/>
    <n v="42"/>
    <n v="13.33"/>
    <n v="25"/>
    <n v="12.02"/>
    <n v="17"/>
    <n v="16.670000000000002"/>
    <x v="0"/>
  </r>
  <r>
    <x v="0"/>
    <s v="三潴郡大木町"/>
    <x v="61"/>
    <x v="2"/>
    <n v="53"/>
    <n v="16.829999999999998"/>
    <n v="30"/>
    <n v="14.42"/>
    <n v="23"/>
    <n v="22.55"/>
    <x v="0"/>
  </r>
  <r>
    <x v="0"/>
    <s v="三潴郡大木町"/>
    <x v="61"/>
    <x v="3"/>
    <n v="3"/>
    <n v="0.95"/>
    <n v="0"/>
    <n v="0"/>
    <n v="2"/>
    <n v="1.96"/>
    <x v="0"/>
  </r>
  <r>
    <x v="0"/>
    <s v="三潴郡大木町"/>
    <x v="61"/>
    <x v="4"/>
    <n v="0"/>
    <n v="0"/>
    <n v="0"/>
    <n v="0"/>
    <n v="0"/>
    <n v="0"/>
    <x v="0"/>
  </r>
  <r>
    <x v="0"/>
    <s v="三潴郡大木町"/>
    <x v="61"/>
    <x v="5"/>
    <n v="0"/>
    <n v="0"/>
    <n v="0"/>
    <n v="0"/>
    <n v="0"/>
    <n v="0"/>
    <x v="0"/>
  </r>
  <r>
    <x v="0"/>
    <s v="三潴郡大木町"/>
    <x v="61"/>
    <x v="6"/>
    <n v="89"/>
    <n v="28.25"/>
    <n v="60"/>
    <n v="28.85"/>
    <n v="29"/>
    <n v="28.43"/>
    <x v="0"/>
  </r>
  <r>
    <x v="0"/>
    <s v="三潴郡大木町"/>
    <x v="61"/>
    <x v="7"/>
    <n v="2"/>
    <n v="0.63"/>
    <n v="0"/>
    <n v="0"/>
    <n v="2"/>
    <n v="1.96"/>
    <x v="0"/>
  </r>
  <r>
    <x v="0"/>
    <s v="三潴郡大木町"/>
    <x v="61"/>
    <x v="8"/>
    <n v="29"/>
    <n v="9.2100000000000009"/>
    <n v="20"/>
    <n v="9.6199999999999992"/>
    <n v="9"/>
    <n v="8.82"/>
    <x v="0"/>
  </r>
  <r>
    <x v="0"/>
    <s v="三潴郡大木町"/>
    <x v="61"/>
    <x v="9"/>
    <n v="9"/>
    <n v="2.86"/>
    <n v="8"/>
    <n v="3.85"/>
    <n v="1"/>
    <n v="0.98"/>
    <x v="0"/>
  </r>
  <r>
    <x v="0"/>
    <s v="三潴郡大木町"/>
    <x v="61"/>
    <x v="10"/>
    <n v="12"/>
    <n v="3.81"/>
    <n v="10"/>
    <n v="4.8099999999999996"/>
    <n v="2"/>
    <n v="1.96"/>
    <x v="0"/>
  </r>
  <r>
    <x v="0"/>
    <s v="三潴郡大木町"/>
    <x v="61"/>
    <x v="11"/>
    <n v="33"/>
    <n v="10.48"/>
    <n v="27"/>
    <n v="12.98"/>
    <n v="5"/>
    <n v="4.9000000000000004"/>
    <x v="0"/>
  </r>
  <r>
    <x v="0"/>
    <s v="三潴郡大木町"/>
    <x v="61"/>
    <x v="12"/>
    <n v="15"/>
    <n v="4.76"/>
    <n v="10"/>
    <n v="4.8099999999999996"/>
    <n v="5"/>
    <n v="4.9000000000000004"/>
    <x v="0"/>
  </r>
  <r>
    <x v="0"/>
    <s v="三潴郡大木町"/>
    <x v="61"/>
    <x v="13"/>
    <n v="13"/>
    <n v="4.13"/>
    <n v="8"/>
    <n v="3.85"/>
    <n v="5"/>
    <n v="4.9000000000000004"/>
    <x v="0"/>
  </r>
  <r>
    <x v="0"/>
    <s v="三潴郡大木町"/>
    <x v="61"/>
    <x v="14"/>
    <n v="15"/>
    <n v="4.76"/>
    <n v="10"/>
    <n v="4.8099999999999996"/>
    <n v="2"/>
    <n v="1.96"/>
    <x v="0"/>
  </r>
  <r>
    <x v="0"/>
    <s v="八女郡広川町"/>
    <x v="62"/>
    <x v="0"/>
    <n v="0"/>
    <n v="0"/>
    <n v="0"/>
    <n v="0"/>
    <n v="0"/>
    <n v="0"/>
    <x v="0"/>
  </r>
  <r>
    <x v="0"/>
    <s v="八女郡広川町"/>
    <x v="62"/>
    <x v="1"/>
    <n v="58"/>
    <n v="13.62"/>
    <n v="28"/>
    <n v="10.69"/>
    <n v="30"/>
    <n v="18.75"/>
    <x v="0"/>
  </r>
  <r>
    <x v="0"/>
    <s v="八女郡広川町"/>
    <x v="62"/>
    <x v="2"/>
    <n v="67"/>
    <n v="15.73"/>
    <n v="32"/>
    <n v="12.21"/>
    <n v="34"/>
    <n v="21.25"/>
    <x v="1"/>
  </r>
  <r>
    <x v="0"/>
    <s v="八女郡広川町"/>
    <x v="62"/>
    <x v="3"/>
    <n v="0"/>
    <n v="0"/>
    <n v="0"/>
    <n v="0"/>
    <n v="0"/>
    <n v="0"/>
    <x v="0"/>
  </r>
  <r>
    <x v="0"/>
    <s v="八女郡広川町"/>
    <x v="62"/>
    <x v="4"/>
    <n v="2"/>
    <n v="0.47"/>
    <n v="0"/>
    <n v="0"/>
    <n v="2"/>
    <n v="1.25"/>
    <x v="0"/>
  </r>
  <r>
    <x v="0"/>
    <s v="八女郡広川町"/>
    <x v="62"/>
    <x v="5"/>
    <n v="3"/>
    <n v="0.7"/>
    <n v="1"/>
    <n v="0.38"/>
    <n v="2"/>
    <n v="1.25"/>
    <x v="0"/>
  </r>
  <r>
    <x v="0"/>
    <s v="八女郡広川町"/>
    <x v="62"/>
    <x v="6"/>
    <n v="109"/>
    <n v="25.59"/>
    <n v="68"/>
    <n v="25.95"/>
    <n v="41"/>
    <n v="25.63"/>
    <x v="0"/>
  </r>
  <r>
    <x v="0"/>
    <s v="八女郡広川町"/>
    <x v="62"/>
    <x v="7"/>
    <n v="2"/>
    <n v="0.47"/>
    <n v="1"/>
    <n v="0.38"/>
    <n v="1"/>
    <n v="0.63"/>
    <x v="0"/>
  </r>
  <r>
    <x v="0"/>
    <s v="八女郡広川町"/>
    <x v="62"/>
    <x v="8"/>
    <n v="21"/>
    <n v="4.93"/>
    <n v="10"/>
    <n v="3.82"/>
    <n v="11"/>
    <n v="6.88"/>
    <x v="0"/>
  </r>
  <r>
    <x v="0"/>
    <s v="八女郡広川町"/>
    <x v="62"/>
    <x v="9"/>
    <n v="11"/>
    <n v="2.58"/>
    <n v="5"/>
    <n v="1.91"/>
    <n v="6"/>
    <n v="3.75"/>
    <x v="0"/>
  </r>
  <r>
    <x v="0"/>
    <s v="八女郡広川町"/>
    <x v="62"/>
    <x v="10"/>
    <n v="31"/>
    <n v="7.28"/>
    <n v="24"/>
    <n v="9.16"/>
    <n v="7"/>
    <n v="4.38"/>
    <x v="0"/>
  </r>
  <r>
    <x v="0"/>
    <s v="八女郡広川町"/>
    <x v="62"/>
    <x v="11"/>
    <n v="54"/>
    <n v="12.68"/>
    <n v="49"/>
    <n v="18.7"/>
    <n v="5"/>
    <n v="3.13"/>
    <x v="0"/>
  </r>
  <r>
    <x v="0"/>
    <s v="八女郡広川町"/>
    <x v="62"/>
    <x v="12"/>
    <n v="11"/>
    <n v="2.58"/>
    <n v="9"/>
    <n v="3.44"/>
    <n v="1"/>
    <n v="0.63"/>
    <x v="0"/>
  </r>
  <r>
    <x v="0"/>
    <s v="八女郡広川町"/>
    <x v="62"/>
    <x v="13"/>
    <n v="24"/>
    <n v="5.63"/>
    <n v="13"/>
    <n v="4.96"/>
    <n v="10"/>
    <n v="6.25"/>
    <x v="0"/>
  </r>
  <r>
    <x v="0"/>
    <s v="八女郡広川町"/>
    <x v="62"/>
    <x v="14"/>
    <n v="33"/>
    <n v="7.75"/>
    <n v="22"/>
    <n v="8.4"/>
    <n v="10"/>
    <n v="6.25"/>
    <x v="1"/>
  </r>
  <r>
    <x v="0"/>
    <s v="田川郡香春町"/>
    <x v="63"/>
    <x v="0"/>
    <n v="0"/>
    <n v="0"/>
    <n v="0"/>
    <n v="0"/>
    <n v="0"/>
    <n v="0"/>
    <x v="0"/>
  </r>
  <r>
    <x v="0"/>
    <s v="田川郡香春町"/>
    <x v="63"/>
    <x v="1"/>
    <n v="33"/>
    <n v="17.190000000000001"/>
    <n v="16"/>
    <n v="13.22"/>
    <n v="17"/>
    <n v="25.76"/>
    <x v="0"/>
  </r>
  <r>
    <x v="0"/>
    <s v="田川郡香春町"/>
    <x v="63"/>
    <x v="2"/>
    <n v="21"/>
    <n v="10.94"/>
    <n v="7"/>
    <n v="5.79"/>
    <n v="14"/>
    <n v="21.21"/>
    <x v="0"/>
  </r>
  <r>
    <x v="0"/>
    <s v="田川郡香春町"/>
    <x v="63"/>
    <x v="3"/>
    <n v="0"/>
    <n v="0"/>
    <n v="0"/>
    <n v="0"/>
    <n v="0"/>
    <n v="0"/>
    <x v="0"/>
  </r>
  <r>
    <x v="0"/>
    <s v="田川郡香春町"/>
    <x v="63"/>
    <x v="4"/>
    <n v="0"/>
    <n v="0"/>
    <n v="0"/>
    <n v="0"/>
    <n v="0"/>
    <n v="0"/>
    <x v="0"/>
  </r>
  <r>
    <x v="0"/>
    <s v="田川郡香春町"/>
    <x v="63"/>
    <x v="5"/>
    <n v="0"/>
    <n v="0"/>
    <n v="0"/>
    <n v="0"/>
    <n v="0"/>
    <n v="0"/>
    <x v="0"/>
  </r>
  <r>
    <x v="0"/>
    <s v="田川郡香春町"/>
    <x v="63"/>
    <x v="6"/>
    <n v="56"/>
    <n v="29.17"/>
    <n v="41"/>
    <n v="33.880000000000003"/>
    <n v="15"/>
    <n v="22.73"/>
    <x v="0"/>
  </r>
  <r>
    <x v="0"/>
    <s v="田川郡香春町"/>
    <x v="63"/>
    <x v="7"/>
    <n v="0"/>
    <n v="0"/>
    <n v="0"/>
    <n v="0"/>
    <n v="0"/>
    <n v="0"/>
    <x v="0"/>
  </r>
  <r>
    <x v="0"/>
    <s v="田川郡香春町"/>
    <x v="63"/>
    <x v="8"/>
    <n v="6"/>
    <n v="3.13"/>
    <n v="2"/>
    <n v="1.65"/>
    <n v="3"/>
    <n v="4.55"/>
    <x v="0"/>
  </r>
  <r>
    <x v="0"/>
    <s v="田川郡香春町"/>
    <x v="63"/>
    <x v="9"/>
    <n v="7"/>
    <n v="3.65"/>
    <n v="4"/>
    <n v="3.31"/>
    <n v="3"/>
    <n v="4.55"/>
    <x v="0"/>
  </r>
  <r>
    <x v="0"/>
    <s v="田川郡香春町"/>
    <x v="63"/>
    <x v="10"/>
    <n v="15"/>
    <n v="7.81"/>
    <n v="11"/>
    <n v="9.09"/>
    <n v="3"/>
    <n v="4.55"/>
    <x v="0"/>
  </r>
  <r>
    <x v="0"/>
    <s v="田川郡香春町"/>
    <x v="63"/>
    <x v="11"/>
    <n v="30"/>
    <n v="15.63"/>
    <n v="27"/>
    <n v="22.31"/>
    <n v="3"/>
    <n v="4.55"/>
    <x v="0"/>
  </r>
  <r>
    <x v="0"/>
    <s v="田川郡香春町"/>
    <x v="63"/>
    <x v="12"/>
    <n v="5"/>
    <n v="2.6"/>
    <n v="1"/>
    <n v="0.83"/>
    <n v="3"/>
    <n v="4.55"/>
    <x v="0"/>
  </r>
  <r>
    <x v="0"/>
    <s v="田川郡香春町"/>
    <x v="63"/>
    <x v="13"/>
    <n v="11"/>
    <n v="5.73"/>
    <n v="5"/>
    <n v="4.13"/>
    <n v="4"/>
    <n v="6.06"/>
    <x v="0"/>
  </r>
  <r>
    <x v="0"/>
    <s v="田川郡香春町"/>
    <x v="63"/>
    <x v="14"/>
    <n v="8"/>
    <n v="4.17"/>
    <n v="7"/>
    <n v="5.79"/>
    <n v="1"/>
    <n v="1.52"/>
    <x v="0"/>
  </r>
  <r>
    <x v="0"/>
    <s v="田川郡添田町"/>
    <x v="64"/>
    <x v="0"/>
    <n v="0"/>
    <n v="0"/>
    <n v="0"/>
    <n v="0"/>
    <n v="0"/>
    <n v="0"/>
    <x v="0"/>
  </r>
  <r>
    <x v="0"/>
    <s v="田川郡添田町"/>
    <x v="64"/>
    <x v="1"/>
    <n v="36"/>
    <n v="16.29"/>
    <n v="8"/>
    <n v="5.41"/>
    <n v="28"/>
    <n v="41.79"/>
    <x v="0"/>
  </r>
  <r>
    <x v="0"/>
    <s v="田川郡添田町"/>
    <x v="64"/>
    <x v="2"/>
    <n v="19"/>
    <n v="8.6"/>
    <n v="12"/>
    <n v="8.11"/>
    <n v="7"/>
    <n v="10.45"/>
    <x v="0"/>
  </r>
  <r>
    <x v="0"/>
    <s v="田川郡添田町"/>
    <x v="64"/>
    <x v="3"/>
    <n v="1"/>
    <n v="0.45"/>
    <n v="0"/>
    <n v="0"/>
    <n v="0"/>
    <n v="0"/>
    <x v="0"/>
  </r>
  <r>
    <x v="0"/>
    <s v="田川郡添田町"/>
    <x v="64"/>
    <x v="4"/>
    <n v="0"/>
    <n v="0"/>
    <n v="0"/>
    <n v="0"/>
    <n v="0"/>
    <n v="0"/>
    <x v="0"/>
  </r>
  <r>
    <x v="0"/>
    <s v="田川郡添田町"/>
    <x v="64"/>
    <x v="5"/>
    <n v="0"/>
    <n v="0"/>
    <n v="0"/>
    <n v="0"/>
    <n v="0"/>
    <n v="0"/>
    <x v="0"/>
  </r>
  <r>
    <x v="0"/>
    <s v="田川郡添田町"/>
    <x v="64"/>
    <x v="6"/>
    <n v="71"/>
    <n v="32.130000000000003"/>
    <n v="62"/>
    <n v="41.89"/>
    <n v="9"/>
    <n v="13.43"/>
    <x v="0"/>
  </r>
  <r>
    <x v="0"/>
    <s v="田川郡添田町"/>
    <x v="64"/>
    <x v="7"/>
    <n v="0"/>
    <n v="0"/>
    <n v="0"/>
    <n v="0"/>
    <n v="0"/>
    <n v="0"/>
    <x v="0"/>
  </r>
  <r>
    <x v="0"/>
    <s v="田川郡添田町"/>
    <x v="64"/>
    <x v="8"/>
    <n v="6"/>
    <n v="2.71"/>
    <n v="3"/>
    <n v="2.0299999999999998"/>
    <n v="2"/>
    <n v="2.99"/>
    <x v="0"/>
  </r>
  <r>
    <x v="0"/>
    <s v="田川郡添田町"/>
    <x v="64"/>
    <x v="9"/>
    <n v="6"/>
    <n v="2.71"/>
    <n v="3"/>
    <n v="2.0299999999999998"/>
    <n v="3"/>
    <n v="4.4800000000000004"/>
    <x v="0"/>
  </r>
  <r>
    <x v="0"/>
    <s v="田川郡添田町"/>
    <x v="64"/>
    <x v="10"/>
    <n v="27"/>
    <n v="12.22"/>
    <n v="21"/>
    <n v="14.19"/>
    <n v="6"/>
    <n v="8.9600000000000009"/>
    <x v="0"/>
  </r>
  <r>
    <x v="0"/>
    <s v="田川郡添田町"/>
    <x v="64"/>
    <x v="11"/>
    <n v="23"/>
    <n v="10.41"/>
    <n v="22"/>
    <n v="14.86"/>
    <n v="1"/>
    <n v="1.49"/>
    <x v="0"/>
  </r>
  <r>
    <x v="0"/>
    <s v="田川郡添田町"/>
    <x v="64"/>
    <x v="12"/>
    <n v="1"/>
    <n v="0.45"/>
    <n v="0"/>
    <n v="0"/>
    <n v="0"/>
    <n v="0"/>
    <x v="0"/>
  </r>
  <r>
    <x v="0"/>
    <s v="田川郡添田町"/>
    <x v="64"/>
    <x v="13"/>
    <n v="19"/>
    <n v="8.6"/>
    <n v="6"/>
    <n v="4.05"/>
    <n v="10"/>
    <n v="14.93"/>
    <x v="1"/>
  </r>
  <r>
    <x v="0"/>
    <s v="田川郡添田町"/>
    <x v="64"/>
    <x v="14"/>
    <n v="12"/>
    <n v="5.43"/>
    <n v="11"/>
    <n v="7.43"/>
    <n v="1"/>
    <n v="1.49"/>
    <x v="0"/>
  </r>
  <r>
    <x v="0"/>
    <s v="田川郡糸田町"/>
    <x v="65"/>
    <x v="0"/>
    <n v="0"/>
    <n v="0"/>
    <n v="0"/>
    <n v="0"/>
    <n v="0"/>
    <n v="0"/>
    <x v="0"/>
  </r>
  <r>
    <x v="0"/>
    <s v="田川郡糸田町"/>
    <x v="65"/>
    <x v="1"/>
    <n v="21"/>
    <n v="20.79"/>
    <n v="3"/>
    <n v="5.77"/>
    <n v="18"/>
    <n v="40"/>
    <x v="0"/>
  </r>
  <r>
    <x v="0"/>
    <s v="田川郡糸田町"/>
    <x v="65"/>
    <x v="2"/>
    <n v="10"/>
    <n v="9.9"/>
    <n v="1"/>
    <n v="1.92"/>
    <n v="9"/>
    <n v="20"/>
    <x v="0"/>
  </r>
  <r>
    <x v="0"/>
    <s v="田川郡糸田町"/>
    <x v="65"/>
    <x v="3"/>
    <n v="1"/>
    <n v="0.99"/>
    <n v="0"/>
    <n v="0"/>
    <n v="0"/>
    <n v="0"/>
    <x v="0"/>
  </r>
  <r>
    <x v="0"/>
    <s v="田川郡糸田町"/>
    <x v="65"/>
    <x v="4"/>
    <n v="1"/>
    <n v="0.99"/>
    <n v="0"/>
    <n v="0"/>
    <n v="1"/>
    <n v="2.2200000000000002"/>
    <x v="0"/>
  </r>
  <r>
    <x v="0"/>
    <s v="田川郡糸田町"/>
    <x v="65"/>
    <x v="5"/>
    <n v="0"/>
    <n v="0"/>
    <n v="0"/>
    <n v="0"/>
    <n v="0"/>
    <n v="0"/>
    <x v="0"/>
  </r>
  <r>
    <x v="0"/>
    <s v="田川郡糸田町"/>
    <x v="65"/>
    <x v="6"/>
    <n v="30"/>
    <n v="29.7"/>
    <n v="20"/>
    <n v="38.46"/>
    <n v="10"/>
    <n v="22.22"/>
    <x v="0"/>
  </r>
  <r>
    <x v="0"/>
    <s v="田川郡糸田町"/>
    <x v="65"/>
    <x v="7"/>
    <n v="0"/>
    <n v="0"/>
    <n v="0"/>
    <n v="0"/>
    <n v="0"/>
    <n v="0"/>
    <x v="0"/>
  </r>
  <r>
    <x v="0"/>
    <s v="田川郡糸田町"/>
    <x v="65"/>
    <x v="8"/>
    <n v="2"/>
    <n v="1.98"/>
    <n v="1"/>
    <n v="1.92"/>
    <n v="1"/>
    <n v="2.2200000000000002"/>
    <x v="0"/>
  </r>
  <r>
    <x v="0"/>
    <s v="田川郡糸田町"/>
    <x v="65"/>
    <x v="9"/>
    <n v="0"/>
    <n v="0"/>
    <n v="0"/>
    <n v="0"/>
    <n v="0"/>
    <n v="0"/>
    <x v="0"/>
  </r>
  <r>
    <x v="0"/>
    <s v="田川郡糸田町"/>
    <x v="65"/>
    <x v="10"/>
    <n v="8"/>
    <n v="7.92"/>
    <n v="6"/>
    <n v="11.54"/>
    <n v="2"/>
    <n v="4.4400000000000004"/>
    <x v="0"/>
  </r>
  <r>
    <x v="0"/>
    <s v="田川郡糸田町"/>
    <x v="65"/>
    <x v="11"/>
    <n v="16"/>
    <n v="15.84"/>
    <n v="13"/>
    <n v="25"/>
    <n v="3"/>
    <n v="6.67"/>
    <x v="0"/>
  </r>
  <r>
    <x v="0"/>
    <s v="田川郡糸田町"/>
    <x v="65"/>
    <x v="12"/>
    <n v="3"/>
    <n v="2.97"/>
    <n v="2"/>
    <n v="3.85"/>
    <n v="0"/>
    <n v="0"/>
    <x v="0"/>
  </r>
  <r>
    <x v="0"/>
    <s v="田川郡糸田町"/>
    <x v="65"/>
    <x v="13"/>
    <n v="6"/>
    <n v="5.94"/>
    <n v="3"/>
    <n v="5.77"/>
    <n v="1"/>
    <n v="2.2200000000000002"/>
    <x v="0"/>
  </r>
  <r>
    <x v="0"/>
    <s v="田川郡糸田町"/>
    <x v="65"/>
    <x v="14"/>
    <n v="3"/>
    <n v="2.97"/>
    <n v="3"/>
    <n v="5.77"/>
    <n v="0"/>
    <n v="0"/>
    <x v="0"/>
  </r>
  <r>
    <x v="0"/>
    <s v="田川郡川崎町"/>
    <x v="66"/>
    <x v="0"/>
    <n v="0"/>
    <n v="0"/>
    <n v="0"/>
    <n v="0"/>
    <n v="0"/>
    <n v="0"/>
    <x v="0"/>
  </r>
  <r>
    <x v="0"/>
    <s v="田川郡川崎町"/>
    <x v="66"/>
    <x v="1"/>
    <n v="75"/>
    <n v="23.29"/>
    <n v="19"/>
    <n v="9.84"/>
    <n v="56"/>
    <n v="44.09"/>
    <x v="0"/>
  </r>
  <r>
    <x v="0"/>
    <s v="田川郡川崎町"/>
    <x v="66"/>
    <x v="2"/>
    <n v="15"/>
    <n v="4.66"/>
    <n v="7"/>
    <n v="3.63"/>
    <n v="8"/>
    <n v="6.3"/>
    <x v="0"/>
  </r>
  <r>
    <x v="0"/>
    <s v="田川郡川崎町"/>
    <x v="66"/>
    <x v="3"/>
    <n v="3"/>
    <n v="0.93"/>
    <n v="0"/>
    <n v="0"/>
    <n v="3"/>
    <n v="2.36"/>
    <x v="0"/>
  </r>
  <r>
    <x v="0"/>
    <s v="田川郡川崎町"/>
    <x v="66"/>
    <x v="4"/>
    <n v="0"/>
    <n v="0"/>
    <n v="0"/>
    <n v="0"/>
    <n v="0"/>
    <n v="0"/>
    <x v="0"/>
  </r>
  <r>
    <x v="0"/>
    <s v="田川郡川崎町"/>
    <x v="66"/>
    <x v="5"/>
    <n v="4"/>
    <n v="1.24"/>
    <n v="0"/>
    <n v="0"/>
    <n v="4"/>
    <n v="3.15"/>
    <x v="0"/>
  </r>
  <r>
    <x v="0"/>
    <s v="田川郡川崎町"/>
    <x v="66"/>
    <x v="6"/>
    <n v="86"/>
    <n v="26.71"/>
    <n v="62"/>
    <n v="32.119999999999997"/>
    <n v="24"/>
    <n v="18.899999999999999"/>
    <x v="0"/>
  </r>
  <r>
    <x v="0"/>
    <s v="田川郡川崎町"/>
    <x v="66"/>
    <x v="7"/>
    <n v="1"/>
    <n v="0.31"/>
    <n v="1"/>
    <n v="0.52"/>
    <n v="0"/>
    <n v="0"/>
    <x v="0"/>
  </r>
  <r>
    <x v="0"/>
    <s v="田川郡川崎町"/>
    <x v="66"/>
    <x v="8"/>
    <n v="14"/>
    <n v="4.3499999999999996"/>
    <n v="7"/>
    <n v="3.63"/>
    <n v="7"/>
    <n v="5.51"/>
    <x v="0"/>
  </r>
  <r>
    <x v="0"/>
    <s v="田川郡川崎町"/>
    <x v="66"/>
    <x v="9"/>
    <n v="3"/>
    <n v="0.93"/>
    <n v="1"/>
    <n v="0.52"/>
    <n v="2"/>
    <n v="1.57"/>
    <x v="0"/>
  </r>
  <r>
    <x v="0"/>
    <s v="田川郡川崎町"/>
    <x v="66"/>
    <x v="10"/>
    <n v="31"/>
    <n v="9.6300000000000008"/>
    <n v="24"/>
    <n v="12.44"/>
    <n v="6"/>
    <n v="4.72"/>
    <x v="0"/>
  </r>
  <r>
    <x v="0"/>
    <s v="田川郡川崎町"/>
    <x v="66"/>
    <x v="11"/>
    <n v="57"/>
    <n v="17.7"/>
    <n v="49"/>
    <n v="25.39"/>
    <n v="7"/>
    <n v="5.51"/>
    <x v="0"/>
  </r>
  <r>
    <x v="0"/>
    <s v="田川郡川崎町"/>
    <x v="66"/>
    <x v="12"/>
    <n v="7"/>
    <n v="2.17"/>
    <n v="6"/>
    <n v="3.11"/>
    <n v="1"/>
    <n v="0.79"/>
    <x v="0"/>
  </r>
  <r>
    <x v="0"/>
    <s v="田川郡川崎町"/>
    <x v="66"/>
    <x v="13"/>
    <n v="13"/>
    <n v="4.04"/>
    <n v="7"/>
    <n v="3.63"/>
    <n v="6"/>
    <n v="4.72"/>
    <x v="0"/>
  </r>
  <r>
    <x v="0"/>
    <s v="田川郡川崎町"/>
    <x v="66"/>
    <x v="14"/>
    <n v="13"/>
    <n v="4.04"/>
    <n v="10"/>
    <n v="5.18"/>
    <n v="3"/>
    <n v="2.36"/>
    <x v="0"/>
  </r>
  <r>
    <x v="0"/>
    <s v="田川郡大任町"/>
    <x v="67"/>
    <x v="0"/>
    <n v="0"/>
    <n v="0"/>
    <n v="0"/>
    <n v="0"/>
    <n v="0"/>
    <n v="0"/>
    <x v="0"/>
  </r>
  <r>
    <x v="0"/>
    <s v="田川郡大任町"/>
    <x v="67"/>
    <x v="1"/>
    <n v="38"/>
    <n v="38"/>
    <n v="17"/>
    <n v="29.82"/>
    <n v="21"/>
    <n v="53.85"/>
    <x v="0"/>
  </r>
  <r>
    <x v="0"/>
    <s v="田川郡大任町"/>
    <x v="67"/>
    <x v="2"/>
    <n v="3"/>
    <n v="3"/>
    <n v="1"/>
    <n v="1.75"/>
    <n v="2"/>
    <n v="5.13"/>
    <x v="0"/>
  </r>
  <r>
    <x v="0"/>
    <s v="田川郡大任町"/>
    <x v="67"/>
    <x v="3"/>
    <n v="2"/>
    <n v="2"/>
    <n v="0"/>
    <n v="0"/>
    <n v="0"/>
    <n v="0"/>
    <x v="0"/>
  </r>
  <r>
    <x v="0"/>
    <s v="田川郡大任町"/>
    <x v="67"/>
    <x v="4"/>
    <n v="0"/>
    <n v="0"/>
    <n v="0"/>
    <n v="0"/>
    <n v="0"/>
    <n v="0"/>
    <x v="0"/>
  </r>
  <r>
    <x v="0"/>
    <s v="田川郡大任町"/>
    <x v="67"/>
    <x v="5"/>
    <n v="0"/>
    <n v="0"/>
    <n v="0"/>
    <n v="0"/>
    <n v="0"/>
    <n v="0"/>
    <x v="0"/>
  </r>
  <r>
    <x v="0"/>
    <s v="田川郡大任町"/>
    <x v="67"/>
    <x v="6"/>
    <n v="23"/>
    <n v="23"/>
    <n v="16"/>
    <n v="28.07"/>
    <n v="7"/>
    <n v="17.95"/>
    <x v="0"/>
  </r>
  <r>
    <x v="0"/>
    <s v="田川郡大任町"/>
    <x v="67"/>
    <x v="7"/>
    <n v="0"/>
    <n v="0"/>
    <n v="0"/>
    <n v="0"/>
    <n v="0"/>
    <n v="0"/>
    <x v="0"/>
  </r>
  <r>
    <x v="0"/>
    <s v="田川郡大任町"/>
    <x v="67"/>
    <x v="8"/>
    <n v="2"/>
    <n v="2"/>
    <n v="0"/>
    <n v="0"/>
    <n v="2"/>
    <n v="5.13"/>
    <x v="0"/>
  </r>
  <r>
    <x v="0"/>
    <s v="田川郡大任町"/>
    <x v="67"/>
    <x v="9"/>
    <n v="1"/>
    <n v="1"/>
    <n v="0"/>
    <n v="0"/>
    <n v="1"/>
    <n v="2.56"/>
    <x v="0"/>
  </r>
  <r>
    <x v="0"/>
    <s v="田川郡大任町"/>
    <x v="67"/>
    <x v="10"/>
    <n v="6"/>
    <n v="6"/>
    <n v="5"/>
    <n v="8.77"/>
    <n v="1"/>
    <n v="2.56"/>
    <x v="0"/>
  </r>
  <r>
    <x v="0"/>
    <s v="田川郡大任町"/>
    <x v="67"/>
    <x v="11"/>
    <n v="16"/>
    <n v="16"/>
    <n v="13"/>
    <n v="22.81"/>
    <n v="3"/>
    <n v="7.69"/>
    <x v="0"/>
  </r>
  <r>
    <x v="0"/>
    <s v="田川郡大任町"/>
    <x v="67"/>
    <x v="12"/>
    <n v="1"/>
    <n v="1"/>
    <n v="0"/>
    <n v="0"/>
    <n v="0"/>
    <n v="0"/>
    <x v="0"/>
  </r>
  <r>
    <x v="0"/>
    <s v="田川郡大任町"/>
    <x v="67"/>
    <x v="13"/>
    <n v="4"/>
    <n v="4"/>
    <n v="1"/>
    <n v="1.75"/>
    <n v="2"/>
    <n v="5.13"/>
    <x v="0"/>
  </r>
  <r>
    <x v="0"/>
    <s v="田川郡大任町"/>
    <x v="67"/>
    <x v="14"/>
    <n v="4"/>
    <n v="4"/>
    <n v="4"/>
    <n v="7.02"/>
    <n v="0"/>
    <n v="0"/>
    <x v="0"/>
  </r>
  <r>
    <x v="0"/>
    <s v="田川郡赤村"/>
    <x v="68"/>
    <x v="0"/>
    <n v="0"/>
    <n v="0"/>
    <n v="0"/>
    <n v="0"/>
    <n v="0"/>
    <n v="0"/>
    <x v="0"/>
  </r>
  <r>
    <x v="0"/>
    <s v="田川郡赤村"/>
    <x v="68"/>
    <x v="1"/>
    <n v="22"/>
    <n v="29.73"/>
    <n v="16"/>
    <n v="30.77"/>
    <n v="6"/>
    <n v="30"/>
    <x v="0"/>
  </r>
  <r>
    <x v="0"/>
    <s v="田川郡赤村"/>
    <x v="68"/>
    <x v="2"/>
    <n v="6"/>
    <n v="8.11"/>
    <n v="3"/>
    <n v="5.77"/>
    <n v="3"/>
    <n v="15"/>
    <x v="0"/>
  </r>
  <r>
    <x v="0"/>
    <s v="田川郡赤村"/>
    <x v="68"/>
    <x v="3"/>
    <n v="1"/>
    <n v="1.35"/>
    <n v="0"/>
    <n v="0"/>
    <n v="0"/>
    <n v="0"/>
    <x v="0"/>
  </r>
  <r>
    <x v="0"/>
    <s v="田川郡赤村"/>
    <x v="68"/>
    <x v="4"/>
    <n v="0"/>
    <n v="0"/>
    <n v="0"/>
    <n v="0"/>
    <n v="0"/>
    <n v="0"/>
    <x v="0"/>
  </r>
  <r>
    <x v="0"/>
    <s v="田川郡赤村"/>
    <x v="68"/>
    <x v="5"/>
    <n v="0"/>
    <n v="0"/>
    <n v="0"/>
    <n v="0"/>
    <n v="0"/>
    <n v="0"/>
    <x v="0"/>
  </r>
  <r>
    <x v="0"/>
    <s v="田川郡赤村"/>
    <x v="68"/>
    <x v="6"/>
    <n v="21"/>
    <n v="28.38"/>
    <n v="16"/>
    <n v="30.77"/>
    <n v="5"/>
    <n v="25"/>
    <x v="0"/>
  </r>
  <r>
    <x v="0"/>
    <s v="田川郡赤村"/>
    <x v="68"/>
    <x v="7"/>
    <n v="0"/>
    <n v="0"/>
    <n v="0"/>
    <n v="0"/>
    <n v="0"/>
    <n v="0"/>
    <x v="0"/>
  </r>
  <r>
    <x v="0"/>
    <s v="田川郡赤村"/>
    <x v="68"/>
    <x v="8"/>
    <n v="0"/>
    <n v="0"/>
    <n v="0"/>
    <n v="0"/>
    <n v="0"/>
    <n v="0"/>
    <x v="0"/>
  </r>
  <r>
    <x v="0"/>
    <s v="田川郡赤村"/>
    <x v="68"/>
    <x v="9"/>
    <n v="1"/>
    <n v="1.35"/>
    <n v="1"/>
    <n v="1.92"/>
    <n v="0"/>
    <n v="0"/>
    <x v="0"/>
  </r>
  <r>
    <x v="0"/>
    <s v="田川郡赤村"/>
    <x v="68"/>
    <x v="10"/>
    <n v="9"/>
    <n v="12.16"/>
    <n v="8"/>
    <n v="15.38"/>
    <n v="1"/>
    <n v="5"/>
    <x v="0"/>
  </r>
  <r>
    <x v="0"/>
    <s v="田川郡赤村"/>
    <x v="68"/>
    <x v="11"/>
    <n v="5"/>
    <n v="6.76"/>
    <n v="5"/>
    <n v="9.6199999999999992"/>
    <n v="0"/>
    <n v="0"/>
    <x v="0"/>
  </r>
  <r>
    <x v="0"/>
    <s v="田川郡赤村"/>
    <x v="68"/>
    <x v="12"/>
    <n v="1"/>
    <n v="1.35"/>
    <n v="1"/>
    <n v="1.92"/>
    <n v="0"/>
    <n v="0"/>
    <x v="0"/>
  </r>
  <r>
    <x v="0"/>
    <s v="田川郡赤村"/>
    <x v="68"/>
    <x v="13"/>
    <n v="7"/>
    <n v="9.4600000000000009"/>
    <n v="1"/>
    <n v="1.92"/>
    <n v="5"/>
    <n v="25"/>
    <x v="0"/>
  </r>
  <r>
    <x v="0"/>
    <s v="田川郡赤村"/>
    <x v="68"/>
    <x v="14"/>
    <n v="1"/>
    <n v="1.35"/>
    <n v="1"/>
    <n v="1.92"/>
    <n v="0"/>
    <n v="0"/>
    <x v="0"/>
  </r>
  <r>
    <x v="0"/>
    <s v="田川郡福智町"/>
    <x v="69"/>
    <x v="0"/>
    <n v="0"/>
    <n v="0"/>
    <n v="0"/>
    <n v="0"/>
    <n v="0"/>
    <n v="0"/>
    <x v="0"/>
  </r>
  <r>
    <x v="0"/>
    <s v="田川郡福智町"/>
    <x v="69"/>
    <x v="1"/>
    <n v="98"/>
    <n v="24.62"/>
    <n v="43"/>
    <n v="17.55"/>
    <n v="55"/>
    <n v="38.46"/>
    <x v="0"/>
  </r>
  <r>
    <x v="0"/>
    <s v="田川郡福智町"/>
    <x v="69"/>
    <x v="2"/>
    <n v="33"/>
    <n v="8.2899999999999991"/>
    <n v="15"/>
    <n v="6.12"/>
    <n v="18"/>
    <n v="12.59"/>
    <x v="0"/>
  </r>
  <r>
    <x v="0"/>
    <s v="田川郡福智町"/>
    <x v="69"/>
    <x v="3"/>
    <n v="2"/>
    <n v="0.5"/>
    <n v="0"/>
    <n v="0"/>
    <n v="2"/>
    <n v="1.4"/>
    <x v="0"/>
  </r>
  <r>
    <x v="0"/>
    <s v="田川郡福智町"/>
    <x v="69"/>
    <x v="4"/>
    <n v="3"/>
    <n v="0.75"/>
    <n v="0"/>
    <n v="0"/>
    <n v="3"/>
    <n v="2.1"/>
    <x v="0"/>
  </r>
  <r>
    <x v="0"/>
    <s v="田川郡福智町"/>
    <x v="69"/>
    <x v="5"/>
    <n v="4"/>
    <n v="1.01"/>
    <n v="1"/>
    <n v="0.41"/>
    <n v="3"/>
    <n v="2.1"/>
    <x v="0"/>
  </r>
  <r>
    <x v="0"/>
    <s v="田川郡福智町"/>
    <x v="69"/>
    <x v="6"/>
    <n v="118"/>
    <n v="29.65"/>
    <n v="91"/>
    <n v="37.14"/>
    <n v="27"/>
    <n v="18.88"/>
    <x v="0"/>
  </r>
  <r>
    <x v="0"/>
    <s v="田川郡福智町"/>
    <x v="69"/>
    <x v="7"/>
    <n v="2"/>
    <n v="0.5"/>
    <n v="0"/>
    <n v="0"/>
    <n v="2"/>
    <n v="1.4"/>
    <x v="0"/>
  </r>
  <r>
    <x v="0"/>
    <s v="田川郡福智町"/>
    <x v="69"/>
    <x v="8"/>
    <n v="15"/>
    <n v="3.77"/>
    <n v="2"/>
    <n v="0.82"/>
    <n v="13"/>
    <n v="9.09"/>
    <x v="0"/>
  </r>
  <r>
    <x v="0"/>
    <s v="田川郡福智町"/>
    <x v="69"/>
    <x v="9"/>
    <n v="8"/>
    <n v="2.0099999999999998"/>
    <n v="6"/>
    <n v="2.4500000000000002"/>
    <n v="2"/>
    <n v="1.4"/>
    <x v="0"/>
  </r>
  <r>
    <x v="0"/>
    <s v="田川郡福智町"/>
    <x v="69"/>
    <x v="10"/>
    <n v="25"/>
    <n v="6.28"/>
    <n v="22"/>
    <n v="8.98"/>
    <n v="2"/>
    <n v="1.4"/>
    <x v="0"/>
  </r>
  <r>
    <x v="0"/>
    <s v="田川郡福智町"/>
    <x v="69"/>
    <x v="11"/>
    <n v="44"/>
    <n v="11.06"/>
    <n v="40"/>
    <n v="16.329999999999998"/>
    <n v="4"/>
    <n v="2.8"/>
    <x v="0"/>
  </r>
  <r>
    <x v="0"/>
    <s v="田川郡福智町"/>
    <x v="69"/>
    <x v="12"/>
    <n v="7"/>
    <n v="1.76"/>
    <n v="2"/>
    <n v="0.82"/>
    <n v="1"/>
    <n v="0.7"/>
    <x v="0"/>
  </r>
  <r>
    <x v="0"/>
    <s v="田川郡福智町"/>
    <x v="69"/>
    <x v="13"/>
    <n v="20"/>
    <n v="5.03"/>
    <n v="6"/>
    <n v="2.4500000000000002"/>
    <n v="10"/>
    <n v="6.99"/>
    <x v="1"/>
  </r>
  <r>
    <x v="0"/>
    <s v="田川郡福智町"/>
    <x v="69"/>
    <x v="14"/>
    <n v="19"/>
    <n v="4.7699999999999996"/>
    <n v="17"/>
    <n v="6.94"/>
    <n v="1"/>
    <n v="0.7"/>
    <x v="0"/>
  </r>
  <r>
    <x v="0"/>
    <s v="京都郡苅田町"/>
    <x v="70"/>
    <x v="0"/>
    <n v="1"/>
    <n v="0.13"/>
    <n v="0"/>
    <n v="0"/>
    <n v="1"/>
    <n v="0.25"/>
    <x v="0"/>
  </r>
  <r>
    <x v="0"/>
    <s v="京都郡苅田町"/>
    <x v="70"/>
    <x v="1"/>
    <n v="107"/>
    <n v="13.79"/>
    <n v="23"/>
    <n v="6.37"/>
    <n v="84"/>
    <n v="20.79"/>
    <x v="0"/>
  </r>
  <r>
    <x v="0"/>
    <s v="京都郡苅田町"/>
    <x v="70"/>
    <x v="2"/>
    <n v="55"/>
    <n v="7.09"/>
    <n v="11"/>
    <n v="3.05"/>
    <n v="44"/>
    <n v="10.89"/>
    <x v="0"/>
  </r>
  <r>
    <x v="0"/>
    <s v="京都郡苅田町"/>
    <x v="70"/>
    <x v="3"/>
    <n v="4"/>
    <n v="0.52"/>
    <n v="0"/>
    <n v="0"/>
    <n v="3"/>
    <n v="0.74"/>
    <x v="0"/>
  </r>
  <r>
    <x v="0"/>
    <s v="京都郡苅田町"/>
    <x v="70"/>
    <x v="4"/>
    <n v="3"/>
    <n v="0.39"/>
    <n v="1"/>
    <n v="0.28000000000000003"/>
    <n v="2"/>
    <n v="0.5"/>
    <x v="0"/>
  </r>
  <r>
    <x v="0"/>
    <s v="京都郡苅田町"/>
    <x v="70"/>
    <x v="5"/>
    <n v="26"/>
    <n v="3.35"/>
    <n v="1"/>
    <n v="0.28000000000000003"/>
    <n v="24"/>
    <n v="5.94"/>
    <x v="1"/>
  </r>
  <r>
    <x v="0"/>
    <s v="京都郡苅田町"/>
    <x v="70"/>
    <x v="6"/>
    <n v="184"/>
    <n v="23.71"/>
    <n v="71"/>
    <n v="19.670000000000002"/>
    <n v="113"/>
    <n v="27.97"/>
    <x v="0"/>
  </r>
  <r>
    <x v="0"/>
    <s v="京都郡苅田町"/>
    <x v="70"/>
    <x v="7"/>
    <n v="7"/>
    <n v="0.9"/>
    <n v="3"/>
    <n v="0.83"/>
    <n v="4"/>
    <n v="0.99"/>
    <x v="0"/>
  </r>
  <r>
    <x v="0"/>
    <s v="京都郡苅田町"/>
    <x v="70"/>
    <x v="8"/>
    <n v="56"/>
    <n v="7.22"/>
    <n v="14"/>
    <n v="3.88"/>
    <n v="42"/>
    <n v="10.4"/>
    <x v="0"/>
  </r>
  <r>
    <x v="0"/>
    <s v="京都郡苅田町"/>
    <x v="70"/>
    <x v="9"/>
    <n v="19"/>
    <n v="2.4500000000000002"/>
    <n v="13"/>
    <n v="3.6"/>
    <n v="6"/>
    <n v="1.49"/>
    <x v="0"/>
  </r>
  <r>
    <x v="0"/>
    <s v="京都郡苅田町"/>
    <x v="70"/>
    <x v="10"/>
    <n v="77"/>
    <n v="9.92"/>
    <n v="67"/>
    <n v="18.559999999999999"/>
    <n v="10"/>
    <n v="2.48"/>
    <x v="0"/>
  </r>
  <r>
    <x v="0"/>
    <s v="京都郡苅田町"/>
    <x v="70"/>
    <x v="11"/>
    <n v="104"/>
    <n v="13.4"/>
    <n v="84"/>
    <n v="23.27"/>
    <n v="19"/>
    <n v="4.7"/>
    <x v="0"/>
  </r>
  <r>
    <x v="0"/>
    <s v="京都郡苅田町"/>
    <x v="70"/>
    <x v="12"/>
    <n v="41"/>
    <n v="5.28"/>
    <n v="30"/>
    <n v="8.31"/>
    <n v="5"/>
    <n v="1.24"/>
    <x v="10"/>
  </r>
  <r>
    <x v="0"/>
    <s v="京都郡苅田町"/>
    <x v="70"/>
    <x v="13"/>
    <n v="46"/>
    <n v="5.93"/>
    <n v="27"/>
    <n v="7.48"/>
    <n v="19"/>
    <n v="4.7"/>
    <x v="0"/>
  </r>
  <r>
    <x v="0"/>
    <s v="京都郡苅田町"/>
    <x v="70"/>
    <x v="14"/>
    <n v="46"/>
    <n v="5.93"/>
    <n v="16"/>
    <n v="4.43"/>
    <n v="28"/>
    <n v="6.93"/>
    <x v="0"/>
  </r>
  <r>
    <x v="0"/>
    <s v="京都郡みやこ町"/>
    <x v="71"/>
    <x v="0"/>
    <n v="1"/>
    <n v="0.26"/>
    <n v="0"/>
    <n v="0"/>
    <n v="1"/>
    <n v="0.72"/>
    <x v="0"/>
  </r>
  <r>
    <x v="0"/>
    <s v="京都郡みやこ町"/>
    <x v="71"/>
    <x v="1"/>
    <n v="95"/>
    <n v="25.07"/>
    <n v="41"/>
    <n v="18.059999999999999"/>
    <n v="54"/>
    <n v="39.130000000000003"/>
    <x v="0"/>
  </r>
  <r>
    <x v="0"/>
    <s v="京都郡みやこ町"/>
    <x v="71"/>
    <x v="2"/>
    <n v="33"/>
    <n v="8.7100000000000009"/>
    <n v="14"/>
    <n v="6.17"/>
    <n v="19"/>
    <n v="13.77"/>
    <x v="0"/>
  </r>
  <r>
    <x v="0"/>
    <s v="京都郡みやこ町"/>
    <x v="71"/>
    <x v="3"/>
    <n v="2"/>
    <n v="0.53"/>
    <n v="0"/>
    <n v="0"/>
    <n v="2"/>
    <n v="1.45"/>
    <x v="0"/>
  </r>
  <r>
    <x v="0"/>
    <s v="京都郡みやこ町"/>
    <x v="71"/>
    <x v="4"/>
    <n v="0"/>
    <n v="0"/>
    <n v="0"/>
    <n v="0"/>
    <n v="0"/>
    <n v="0"/>
    <x v="0"/>
  </r>
  <r>
    <x v="0"/>
    <s v="京都郡みやこ町"/>
    <x v="71"/>
    <x v="5"/>
    <n v="3"/>
    <n v="0.79"/>
    <n v="0"/>
    <n v="0"/>
    <n v="3"/>
    <n v="2.17"/>
    <x v="0"/>
  </r>
  <r>
    <x v="0"/>
    <s v="京都郡みやこ町"/>
    <x v="71"/>
    <x v="6"/>
    <n v="80"/>
    <n v="21.11"/>
    <n v="61"/>
    <n v="26.87"/>
    <n v="19"/>
    <n v="13.77"/>
    <x v="0"/>
  </r>
  <r>
    <x v="0"/>
    <s v="京都郡みやこ町"/>
    <x v="71"/>
    <x v="7"/>
    <n v="0"/>
    <n v="0"/>
    <n v="0"/>
    <n v="0"/>
    <n v="0"/>
    <n v="0"/>
    <x v="0"/>
  </r>
  <r>
    <x v="0"/>
    <s v="京都郡みやこ町"/>
    <x v="71"/>
    <x v="8"/>
    <n v="7"/>
    <n v="1.85"/>
    <n v="1"/>
    <n v="0.44"/>
    <n v="6"/>
    <n v="4.3499999999999996"/>
    <x v="0"/>
  </r>
  <r>
    <x v="0"/>
    <s v="京都郡みやこ町"/>
    <x v="71"/>
    <x v="9"/>
    <n v="19"/>
    <n v="5.01"/>
    <n v="7"/>
    <n v="3.08"/>
    <n v="12"/>
    <n v="8.6999999999999993"/>
    <x v="0"/>
  </r>
  <r>
    <x v="0"/>
    <s v="京都郡みやこ町"/>
    <x v="71"/>
    <x v="10"/>
    <n v="30"/>
    <n v="7.92"/>
    <n v="25"/>
    <n v="11.01"/>
    <n v="5"/>
    <n v="3.62"/>
    <x v="0"/>
  </r>
  <r>
    <x v="0"/>
    <s v="京都郡みやこ町"/>
    <x v="71"/>
    <x v="11"/>
    <n v="60"/>
    <n v="15.83"/>
    <n v="50"/>
    <n v="22.03"/>
    <n v="4"/>
    <n v="2.9"/>
    <x v="0"/>
  </r>
  <r>
    <x v="0"/>
    <s v="京都郡みやこ町"/>
    <x v="71"/>
    <x v="12"/>
    <n v="15"/>
    <n v="3.96"/>
    <n v="9"/>
    <n v="3.96"/>
    <n v="0"/>
    <n v="0"/>
    <x v="0"/>
  </r>
  <r>
    <x v="0"/>
    <s v="京都郡みやこ町"/>
    <x v="71"/>
    <x v="13"/>
    <n v="24"/>
    <n v="6.33"/>
    <n v="12"/>
    <n v="5.29"/>
    <n v="11"/>
    <n v="7.97"/>
    <x v="0"/>
  </r>
  <r>
    <x v="0"/>
    <s v="京都郡みやこ町"/>
    <x v="71"/>
    <x v="14"/>
    <n v="10"/>
    <n v="2.64"/>
    <n v="7"/>
    <n v="3.08"/>
    <n v="2"/>
    <n v="1.45"/>
    <x v="0"/>
  </r>
  <r>
    <x v="0"/>
    <s v="築上郡吉富町"/>
    <x v="72"/>
    <x v="0"/>
    <n v="0"/>
    <n v="0"/>
    <n v="0"/>
    <n v="0"/>
    <n v="0"/>
    <n v="0"/>
    <x v="0"/>
  </r>
  <r>
    <x v="0"/>
    <s v="築上郡吉富町"/>
    <x v="72"/>
    <x v="1"/>
    <n v="22"/>
    <n v="19.64"/>
    <n v="6"/>
    <n v="8"/>
    <n v="16"/>
    <n v="43.24"/>
    <x v="0"/>
  </r>
  <r>
    <x v="0"/>
    <s v="築上郡吉富町"/>
    <x v="72"/>
    <x v="2"/>
    <n v="7"/>
    <n v="6.25"/>
    <n v="4"/>
    <n v="5.33"/>
    <n v="3"/>
    <n v="8.11"/>
    <x v="0"/>
  </r>
  <r>
    <x v="0"/>
    <s v="築上郡吉富町"/>
    <x v="72"/>
    <x v="3"/>
    <n v="0"/>
    <n v="0"/>
    <n v="0"/>
    <n v="0"/>
    <n v="0"/>
    <n v="0"/>
    <x v="0"/>
  </r>
  <r>
    <x v="0"/>
    <s v="築上郡吉富町"/>
    <x v="72"/>
    <x v="4"/>
    <n v="0"/>
    <n v="0"/>
    <n v="0"/>
    <n v="0"/>
    <n v="0"/>
    <n v="0"/>
    <x v="0"/>
  </r>
  <r>
    <x v="0"/>
    <s v="築上郡吉富町"/>
    <x v="72"/>
    <x v="5"/>
    <n v="1"/>
    <n v="0.89"/>
    <n v="0"/>
    <n v="0"/>
    <n v="1"/>
    <n v="2.7"/>
    <x v="0"/>
  </r>
  <r>
    <x v="0"/>
    <s v="築上郡吉富町"/>
    <x v="72"/>
    <x v="6"/>
    <n v="24"/>
    <n v="21.43"/>
    <n v="16"/>
    <n v="21.33"/>
    <n v="8"/>
    <n v="21.62"/>
    <x v="0"/>
  </r>
  <r>
    <x v="0"/>
    <s v="築上郡吉富町"/>
    <x v="72"/>
    <x v="7"/>
    <n v="1"/>
    <n v="0.89"/>
    <n v="0"/>
    <n v="0"/>
    <n v="1"/>
    <n v="2.7"/>
    <x v="0"/>
  </r>
  <r>
    <x v="0"/>
    <s v="築上郡吉富町"/>
    <x v="72"/>
    <x v="8"/>
    <n v="16"/>
    <n v="14.29"/>
    <n v="12"/>
    <n v="16"/>
    <n v="4"/>
    <n v="10.81"/>
    <x v="0"/>
  </r>
  <r>
    <x v="0"/>
    <s v="築上郡吉富町"/>
    <x v="72"/>
    <x v="9"/>
    <n v="3"/>
    <n v="2.68"/>
    <n v="2"/>
    <n v="2.67"/>
    <n v="1"/>
    <n v="2.7"/>
    <x v="0"/>
  </r>
  <r>
    <x v="0"/>
    <s v="築上郡吉富町"/>
    <x v="72"/>
    <x v="10"/>
    <n v="7"/>
    <n v="6.25"/>
    <n v="6"/>
    <n v="8"/>
    <n v="1"/>
    <n v="2.7"/>
    <x v="0"/>
  </r>
  <r>
    <x v="0"/>
    <s v="築上郡吉富町"/>
    <x v="72"/>
    <x v="11"/>
    <n v="21"/>
    <n v="18.75"/>
    <n v="20"/>
    <n v="26.67"/>
    <n v="1"/>
    <n v="2.7"/>
    <x v="0"/>
  </r>
  <r>
    <x v="0"/>
    <s v="築上郡吉富町"/>
    <x v="72"/>
    <x v="12"/>
    <n v="2"/>
    <n v="1.79"/>
    <n v="2"/>
    <n v="2.67"/>
    <n v="0"/>
    <n v="0"/>
    <x v="0"/>
  </r>
  <r>
    <x v="0"/>
    <s v="築上郡吉富町"/>
    <x v="72"/>
    <x v="13"/>
    <n v="5"/>
    <n v="4.46"/>
    <n v="4"/>
    <n v="5.33"/>
    <n v="1"/>
    <n v="2.7"/>
    <x v="0"/>
  </r>
  <r>
    <x v="0"/>
    <s v="築上郡吉富町"/>
    <x v="72"/>
    <x v="14"/>
    <n v="3"/>
    <n v="2.68"/>
    <n v="3"/>
    <n v="4"/>
    <n v="0"/>
    <n v="0"/>
    <x v="0"/>
  </r>
  <r>
    <x v="0"/>
    <s v="築上郡上毛町"/>
    <x v="73"/>
    <x v="0"/>
    <n v="0"/>
    <n v="0"/>
    <n v="0"/>
    <n v="0"/>
    <n v="0"/>
    <n v="0"/>
    <x v="0"/>
  </r>
  <r>
    <x v="0"/>
    <s v="築上郡上毛町"/>
    <x v="73"/>
    <x v="1"/>
    <n v="29"/>
    <n v="26.13"/>
    <n v="14"/>
    <n v="21.21"/>
    <n v="15"/>
    <n v="34.880000000000003"/>
    <x v="0"/>
  </r>
  <r>
    <x v="0"/>
    <s v="築上郡上毛町"/>
    <x v="73"/>
    <x v="2"/>
    <n v="5"/>
    <n v="4.5"/>
    <n v="0"/>
    <n v="0"/>
    <n v="5"/>
    <n v="11.63"/>
    <x v="0"/>
  </r>
  <r>
    <x v="0"/>
    <s v="築上郡上毛町"/>
    <x v="73"/>
    <x v="3"/>
    <n v="0"/>
    <n v="0"/>
    <n v="0"/>
    <n v="0"/>
    <n v="0"/>
    <n v="0"/>
    <x v="0"/>
  </r>
  <r>
    <x v="0"/>
    <s v="築上郡上毛町"/>
    <x v="73"/>
    <x v="4"/>
    <n v="0"/>
    <n v="0"/>
    <n v="0"/>
    <n v="0"/>
    <n v="0"/>
    <n v="0"/>
    <x v="0"/>
  </r>
  <r>
    <x v="0"/>
    <s v="築上郡上毛町"/>
    <x v="73"/>
    <x v="5"/>
    <n v="1"/>
    <n v="0.9"/>
    <n v="1"/>
    <n v="1.52"/>
    <n v="0"/>
    <n v="0"/>
    <x v="0"/>
  </r>
  <r>
    <x v="0"/>
    <s v="築上郡上毛町"/>
    <x v="73"/>
    <x v="6"/>
    <n v="37"/>
    <n v="33.33"/>
    <n v="26"/>
    <n v="39.39"/>
    <n v="11"/>
    <n v="25.58"/>
    <x v="0"/>
  </r>
  <r>
    <x v="0"/>
    <s v="築上郡上毛町"/>
    <x v="73"/>
    <x v="7"/>
    <n v="0"/>
    <n v="0"/>
    <n v="0"/>
    <n v="0"/>
    <n v="0"/>
    <n v="0"/>
    <x v="0"/>
  </r>
  <r>
    <x v="0"/>
    <s v="築上郡上毛町"/>
    <x v="73"/>
    <x v="8"/>
    <n v="4"/>
    <n v="3.6"/>
    <n v="1"/>
    <n v="1.52"/>
    <n v="3"/>
    <n v="6.98"/>
    <x v="0"/>
  </r>
  <r>
    <x v="0"/>
    <s v="築上郡上毛町"/>
    <x v="73"/>
    <x v="9"/>
    <n v="1"/>
    <n v="0.9"/>
    <n v="0"/>
    <n v="0"/>
    <n v="1"/>
    <n v="2.33"/>
    <x v="0"/>
  </r>
  <r>
    <x v="0"/>
    <s v="築上郡上毛町"/>
    <x v="73"/>
    <x v="10"/>
    <n v="5"/>
    <n v="4.5"/>
    <n v="3"/>
    <n v="4.55"/>
    <n v="2"/>
    <n v="4.6500000000000004"/>
    <x v="0"/>
  </r>
  <r>
    <x v="0"/>
    <s v="築上郡上毛町"/>
    <x v="73"/>
    <x v="11"/>
    <n v="12"/>
    <n v="10.81"/>
    <n v="12"/>
    <n v="18.18"/>
    <n v="0"/>
    <n v="0"/>
    <x v="0"/>
  </r>
  <r>
    <x v="0"/>
    <s v="築上郡上毛町"/>
    <x v="73"/>
    <x v="12"/>
    <n v="0"/>
    <n v="0"/>
    <n v="0"/>
    <n v="0"/>
    <n v="0"/>
    <n v="0"/>
    <x v="0"/>
  </r>
  <r>
    <x v="0"/>
    <s v="築上郡上毛町"/>
    <x v="73"/>
    <x v="13"/>
    <n v="6"/>
    <n v="5.41"/>
    <n v="1"/>
    <n v="1.52"/>
    <n v="4"/>
    <n v="9.3000000000000007"/>
    <x v="0"/>
  </r>
  <r>
    <x v="0"/>
    <s v="築上郡上毛町"/>
    <x v="73"/>
    <x v="14"/>
    <n v="11"/>
    <n v="9.91"/>
    <n v="8"/>
    <n v="12.12"/>
    <n v="2"/>
    <n v="4.6500000000000004"/>
    <x v="0"/>
  </r>
  <r>
    <x v="0"/>
    <s v="築上郡築上町"/>
    <x v="74"/>
    <x v="0"/>
    <n v="0"/>
    <n v="0"/>
    <n v="0"/>
    <n v="0"/>
    <n v="0"/>
    <n v="0"/>
    <x v="0"/>
  </r>
  <r>
    <x v="0"/>
    <s v="築上郡築上町"/>
    <x v="74"/>
    <x v="1"/>
    <n v="94"/>
    <n v="25.13"/>
    <n v="37"/>
    <n v="16.09"/>
    <n v="57"/>
    <n v="42.86"/>
    <x v="0"/>
  </r>
  <r>
    <x v="0"/>
    <s v="築上郡築上町"/>
    <x v="74"/>
    <x v="2"/>
    <n v="18"/>
    <n v="4.8099999999999996"/>
    <n v="9"/>
    <n v="3.91"/>
    <n v="9"/>
    <n v="6.77"/>
    <x v="0"/>
  </r>
  <r>
    <x v="0"/>
    <s v="築上郡築上町"/>
    <x v="74"/>
    <x v="3"/>
    <n v="0"/>
    <n v="0"/>
    <n v="0"/>
    <n v="0"/>
    <n v="0"/>
    <n v="0"/>
    <x v="0"/>
  </r>
  <r>
    <x v="0"/>
    <s v="築上郡築上町"/>
    <x v="74"/>
    <x v="4"/>
    <n v="2"/>
    <n v="0.53"/>
    <n v="0"/>
    <n v="0"/>
    <n v="2"/>
    <n v="1.5"/>
    <x v="0"/>
  </r>
  <r>
    <x v="0"/>
    <s v="築上郡築上町"/>
    <x v="74"/>
    <x v="5"/>
    <n v="3"/>
    <n v="0.8"/>
    <n v="2"/>
    <n v="0.87"/>
    <n v="1"/>
    <n v="0.75"/>
    <x v="0"/>
  </r>
  <r>
    <x v="0"/>
    <s v="築上郡築上町"/>
    <x v="74"/>
    <x v="6"/>
    <n v="91"/>
    <n v="24.33"/>
    <n v="61"/>
    <n v="26.52"/>
    <n v="29"/>
    <n v="21.8"/>
    <x v="1"/>
  </r>
  <r>
    <x v="0"/>
    <s v="築上郡築上町"/>
    <x v="74"/>
    <x v="7"/>
    <n v="2"/>
    <n v="0.53"/>
    <n v="0"/>
    <n v="0"/>
    <n v="2"/>
    <n v="1.5"/>
    <x v="0"/>
  </r>
  <r>
    <x v="0"/>
    <s v="築上郡築上町"/>
    <x v="74"/>
    <x v="8"/>
    <n v="14"/>
    <n v="3.74"/>
    <n v="6"/>
    <n v="2.61"/>
    <n v="7"/>
    <n v="5.26"/>
    <x v="0"/>
  </r>
  <r>
    <x v="0"/>
    <s v="築上郡築上町"/>
    <x v="74"/>
    <x v="9"/>
    <n v="9"/>
    <n v="2.41"/>
    <n v="4"/>
    <n v="1.74"/>
    <n v="5"/>
    <n v="3.76"/>
    <x v="0"/>
  </r>
  <r>
    <x v="0"/>
    <s v="築上郡築上町"/>
    <x v="74"/>
    <x v="10"/>
    <n v="40"/>
    <n v="10.7"/>
    <n v="37"/>
    <n v="16.09"/>
    <n v="3"/>
    <n v="2.2599999999999998"/>
    <x v="0"/>
  </r>
  <r>
    <x v="0"/>
    <s v="築上郡築上町"/>
    <x v="74"/>
    <x v="11"/>
    <n v="50"/>
    <n v="13.37"/>
    <n v="40"/>
    <n v="17.39"/>
    <n v="8"/>
    <n v="6.02"/>
    <x v="0"/>
  </r>
  <r>
    <x v="0"/>
    <s v="築上郡築上町"/>
    <x v="74"/>
    <x v="12"/>
    <n v="14"/>
    <n v="3.74"/>
    <n v="10"/>
    <n v="4.3499999999999996"/>
    <n v="1"/>
    <n v="0.75"/>
    <x v="1"/>
  </r>
  <r>
    <x v="0"/>
    <s v="築上郡築上町"/>
    <x v="74"/>
    <x v="13"/>
    <n v="24"/>
    <n v="6.42"/>
    <n v="15"/>
    <n v="6.52"/>
    <n v="7"/>
    <n v="5.26"/>
    <x v="0"/>
  </r>
  <r>
    <x v="0"/>
    <s v="築上郡築上町"/>
    <x v="74"/>
    <x v="14"/>
    <n v="13"/>
    <n v="3.48"/>
    <n v="9"/>
    <n v="3.91"/>
    <n v="2"/>
    <n v="1.5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22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0"/>
  </r>
  <r>
    <x v="0"/>
    <x v="0"/>
    <x v="0"/>
    <x v="2"/>
    <x v="2"/>
    <x v="2"/>
    <x v="2"/>
    <x v="2"/>
    <x v="2"/>
    <x v="2"/>
    <x v="2"/>
    <x v="2"/>
    <x v="2"/>
    <x v="1"/>
  </r>
  <r>
    <x v="0"/>
    <x v="0"/>
    <x v="0"/>
    <x v="3"/>
    <x v="3"/>
    <x v="3"/>
    <x v="3"/>
    <x v="3"/>
    <x v="3"/>
    <x v="3"/>
    <x v="3"/>
    <x v="3"/>
    <x v="3"/>
    <x v="2"/>
  </r>
  <r>
    <x v="0"/>
    <x v="0"/>
    <x v="0"/>
    <x v="4"/>
    <x v="4"/>
    <x v="4"/>
    <x v="4"/>
    <x v="4"/>
    <x v="4"/>
    <x v="4"/>
    <x v="4"/>
    <x v="4"/>
    <x v="2"/>
    <x v="3"/>
  </r>
  <r>
    <x v="0"/>
    <x v="0"/>
    <x v="0"/>
    <x v="5"/>
    <x v="5"/>
    <x v="5"/>
    <x v="5"/>
    <x v="5"/>
    <x v="5"/>
    <x v="5"/>
    <x v="5"/>
    <x v="5"/>
    <x v="4"/>
    <x v="4"/>
  </r>
  <r>
    <x v="0"/>
    <x v="0"/>
    <x v="0"/>
    <x v="6"/>
    <x v="6"/>
    <x v="6"/>
    <x v="6"/>
    <x v="6"/>
    <x v="6"/>
    <x v="6"/>
    <x v="6"/>
    <x v="6"/>
    <x v="5"/>
    <x v="3"/>
  </r>
  <r>
    <x v="0"/>
    <x v="0"/>
    <x v="0"/>
    <x v="7"/>
    <x v="7"/>
    <x v="7"/>
    <x v="7"/>
    <x v="7"/>
    <x v="7"/>
    <x v="7"/>
    <x v="7"/>
    <x v="7"/>
    <x v="6"/>
    <x v="5"/>
  </r>
  <r>
    <x v="0"/>
    <x v="0"/>
    <x v="0"/>
    <x v="8"/>
    <x v="8"/>
    <x v="8"/>
    <x v="8"/>
    <x v="8"/>
    <x v="8"/>
    <x v="8"/>
    <x v="8"/>
    <x v="8"/>
    <x v="7"/>
    <x v="6"/>
  </r>
  <r>
    <x v="0"/>
    <x v="0"/>
    <x v="0"/>
    <x v="9"/>
    <x v="9"/>
    <x v="9"/>
    <x v="9"/>
    <x v="9"/>
    <x v="9"/>
    <x v="9"/>
    <x v="9"/>
    <x v="9"/>
    <x v="8"/>
    <x v="6"/>
  </r>
  <r>
    <x v="0"/>
    <x v="0"/>
    <x v="0"/>
    <x v="10"/>
    <x v="10"/>
    <x v="10"/>
    <x v="10"/>
    <x v="10"/>
    <x v="10"/>
    <x v="10"/>
    <x v="10"/>
    <x v="10"/>
    <x v="9"/>
    <x v="7"/>
  </r>
  <r>
    <x v="0"/>
    <x v="0"/>
    <x v="0"/>
    <x v="11"/>
    <x v="11"/>
    <x v="11"/>
    <x v="11"/>
    <x v="11"/>
    <x v="11"/>
    <x v="11"/>
    <x v="11"/>
    <x v="11"/>
    <x v="10"/>
    <x v="3"/>
  </r>
  <r>
    <x v="0"/>
    <x v="0"/>
    <x v="0"/>
    <x v="12"/>
    <x v="12"/>
    <x v="12"/>
    <x v="12"/>
    <x v="12"/>
    <x v="12"/>
    <x v="12"/>
    <x v="12"/>
    <x v="12"/>
    <x v="11"/>
    <x v="8"/>
  </r>
  <r>
    <x v="0"/>
    <x v="0"/>
    <x v="0"/>
    <x v="13"/>
    <x v="13"/>
    <x v="13"/>
    <x v="13"/>
    <x v="13"/>
    <x v="13"/>
    <x v="13"/>
    <x v="13"/>
    <x v="13"/>
    <x v="12"/>
    <x v="8"/>
  </r>
  <r>
    <x v="0"/>
    <x v="0"/>
    <x v="0"/>
    <x v="14"/>
    <x v="14"/>
    <x v="14"/>
    <x v="14"/>
    <x v="14"/>
    <x v="14"/>
    <x v="14"/>
    <x v="14"/>
    <x v="14"/>
    <x v="13"/>
    <x v="3"/>
  </r>
  <r>
    <x v="0"/>
    <x v="0"/>
    <x v="0"/>
    <x v="15"/>
    <x v="15"/>
    <x v="15"/>
    <x v="15"/>
    <x v="15"/>
    <x v="15"/>
    <x v="15"/>
    <x v="15"/>
    <x v="15"/>
    <x v="14"/>
    <x v="3"/>
  </r>
  <r>
    <x v="0"/>
    <x v="0"/>
    <x v="0"/>
    <x v="16"/>
    <x v="16"/>
    <x v="16"/>
    <x v="16"/>
    <x v="16"/>
    <x v="16"/>
    <x v="16"/>
    <x v="16"/>
    <x v="16"/>
    <x v="6"/>
    <x v="0"/>
  </r>
  <r>
    <x v="0"/>
    <x v="0"/>
    <x v="0"/>
    <x v="17"/>
    <x v="17"/>
    <x v="17"/>
    <x v="17"/>
    <x v="17"/>
    <x v="17"/>
    <x v="17"/>
    <x v="17"/>
    <x v="17"/>
    <x v="15"/>
    <x v="6"/>
  </r>
  <r>
    <x v="0"/>
    <x v="0"/>
    <x v="0"/>
    <x v="18"/>
    <x v="18"/>
    <x v="18"/>
    <x v="18"/>
    <x v="18"/>
    <x v="18"/>
    <x v="18"/>
    <x v="18"/>
    <x v="18"/>
    <x v="16"/>
    <x v="9"/>
  </r>
  <r>
    <x v="0"/>
    <x v="0"/>
    <x v="0"/>
    <x v="19"/>
    <x v="19"/>
    <x v="19"/>
    <x v="19"/>
    <x v="19"/>
    <x v="19"/>
    <x v="19"/>
    <x v="19"/>
    <x v="19"/>
    <x v="17"/>
    <x v="10"/>
  </r>
  <r>
    <x v="0"/>
    <x v="1"/>
    <x v="1"/>
    <x v="0"/>
    <x v="0"/>
    <x v="0"/>
    <x v="0"/>
    <x v="20"/>
    <x v="20"/>
    <x v="20"/>
    <x v="20"/>
    <x v="20"/>
    <x v="18"/>
    <x v="6"/>
  </r>
  <r>
    <x v="0"/>
    <x v="1"/>
    <x v="1"/>
    <x v="1"/>
    <x v="1"/>
    <x v="1"/>
    <x v="1"/>
    <x v="21"/>
    <x v="21"/>
    <x v="21"/>
    <x v="21"/>
    <x v="21"/>
    <x v="1"/>
    <x v="6"/>
  </r>
  <r>
    <x v="0"/>
    <x v="1"/>
    <x v="1"/>
    <x v="2"/>
    <x v="2"/>
    <x v="2"/>
    <x v="2"/>
    <x v="22"/>
    <x v="22"/>
    <x v="22"/>
    <x v="22"/>
    <x v="22"/>
    <x v="19"/>
    <x v="6"/>
  </r>
  <r>
    <x v="0"/>
    <x v="1"/>
    <x v="1"/>
    <x v="3"/>
    <x v="3"/>
    <x v="3"/>
    <x v="3"/>
    <x v="23"/>
    <x v="23"/>
    <x v="23"/>
    <x v="23"/>
    <x v="23"/>
    <x v="20"/>
    <x v="8"/>
  </r>
  <r>
    <x v="0"/>
    <x v="1"/>
    <x v="1"/>
    <x v="4"/>
    <x v="4"/>
    <x v="4"/>
    <x v="4"/>
    <x v="24"/>
    <x v="24"/>
    <x v="24"/>
    <x v="24"/>
    <x v="24"/>
    <x v="21"/>
    <x v="3"/>
  </r>
  <r>
    <x v="0"/>
    <x v="1"/>
    <x v="1"/>
    <x v="5"/>
    <x v="5"/>
    <x v="5"/>
    <x v="4"/>
    <x v="24"/>
    <x v="24"/>
    <x v="25"/>
    <x v="25"/>
    <x v="25"/>
    <x v="22"/>
    <x v="3"/>
  </r>
  <r>
    <x v="0"/>
    <x v="1"/>
    <x v="1"/>
    <x v="8"/>
    <x v="8"/>
    <x v="8"/>
    <x v="6"/>
    <x v="25"/>
    <x v="25"/>
    <x v="26"/>
    <x v="26"/>
    <x v="26"/>
    <x v="23"/>
    <x v="3"/>
  </r>
  <r>
    <x v="0"/>
    <x v="1"/>
    <x v="1"/>
    <x v="6"/>
    <x v="6"/>
    <x v="6"/>
    <x v="7"/>
    <x v="26"/>
    <x v="26"/>
    <x v="27"/>
    <x v="27"/>
    <x v="27"/>
    <x v="24"/>
    <x v="3"/>
  </r>
  <r>
    <x v="0"/>
    <x v="1"/>
    <x v="1"/>
    <x v="9"/>
    <x v="9"/>
    <x v="9"/>
    <x v="8"/>
    <x v="27"/>
    <x v="27"/>
    <x v="28"/>
    <x v="28"/>
    <x v="28"/>
    <x v="25"/>
    <x v="3"/>
  </r>
  <r>
    <x v="0"/>
    <x v="1"/>
    <x v="1"/>
    <x v="10"/>
    <x v="10"/>
    <x v="10"/>
    <x v="9"/>
    <x v="28"/>
    <x v="28"/>
    <x v="29"/>
    <x v="29"/>
    <x v="29"/>
    <x v="26"/>
    <x v="11"/>
  </r>
  <r>
    <x v="0"/>
    <x v="1"/>
    <x v="1"/>
    <x v="7"/>
    <x v="7"/>
    <x v="7"/>
    <x v="10"/>
    <x v="29"/>
    <x v="29"/>
    <x v="30"/>
    <x v="30"/>
    <x v="30"/>
    <x v="27"/>
    <x v="3"/>
  </r>
  <r>
    <x v="0"/>
    <x v="1"/>
    <x v="1"/>
    <x v="12"/>
    <x v="12"/>
    <x v="12"/>
    <x v="11"/>
    <x v="30"/>
    <x v="30"/>
    <x v="31"/>
    <x v="31"/>
    <x v="31"/>
    <x v="28"/>
    <x v="0"/>
  </r>
  <r>
    <x v="0"/>
    <x v="1"/>
    <x v="1"/>
    <x v="11"/>
    <x v="11"/>
    <x v="11"/>
    <x v="12"/>
    <x v="31"/>
    <x v="31"/>
    <x v="32"/>
    <x v="32"/>
    <x v="32"/>
    <x v="29"/>
    <x v="3"/>
  </r>
  <r>
    <x v="0"/>
    <x v="1"/>
    <x v="1"/>
    <x v="13"/>
    <x v="13"/>
    <x v="13"/>
    <x v="13"/>
    <x v="32"/>
    <x v="32"/>
    <x v="33"/>
    <x v="33"/>
    <x v="33"/>
    <x v="30"/>
    <x v="3"/>
  </r>
  <r>
    <x v="0"/>
    <x v="1"/>
    <x v="1"/>
    <x v="14"/>
    <x v="14"/>
    <x v="14"/>
    <x v="14"/>
    <x v="33"/>
    <x v="33"/>
    <x v="34"/>
    <x v="34"/>
    <x v="34"/>
    <x v="31"/>
    <x v="3"/>
  </r>
  <r>
    <x v="0"/>
    <x v="1"/>
    <x v="1"/>
    <x v="17"/>
    <x v="17"/>
    <x v="17"/>
    <x v="15"/>
    <x v="34"/>
    <x v="34"/>
    <x v="35"/>
    <x v="35"/>
    <x v="35"/>
    <x v="32"/>
    <x v="3"/>
  </r>
  <r>
    <x v="0"/>
    <x v="1"/>
    <x v="1"/>
    <x v="15"/>
    <x v="15"/>
    <x v="15"/>
    <x v="16"/>
    <x v="35"/>
    <x v="35"/>
    <x v="36"/>
    <x v="36"/>
    <x v="36"/>
    <x v="12"/>
    <x v="3"/>
  </r>
  <r>
    <x v="0"/>
    <x v="1"/>
    <x v="1"/>
    <x v="18"/>
    <x v="18"/>
    <x v="18"/>
    <x v="17"/>
    <x v="36"/>
    <x v="36"/>
    <x v="37"/>
    <x v="37"/>
    <x v="37"/>
    <x v="33"/>
    <x v="6"/>
  </r>
  <r>
    <x v="0"/>
    <x v="1"/>
    <x v="1"/>
    <x v="20"/>
    <x v="20"/>
    <x v="20"/>
    <x v="18"/>
    <x v="37"/>
    <x v="37"/>
    <x v="38"/>
    <x v="38"/>
    <x v="38"/>
    <x v="34"/>
    <x v="3"/>
  </r>
  <r>
    <x v="0"/>
    <x v="1"/>
    <x v="1"/>
    <x v="16"/>
    <x v="16"/>
    <x v="16"/>
    <x v="19"/>
    <x v="38"/>
    <x v="38"/>
    <x v="39"/>
    <x v="39"/>
    <x v="39"/>
    <x v="35"/>
    <x v="3"/>
  </r>
  <r>
    <x v="0"/>
    <x v="2"/>
    <x v="2"/>
    <x v="0"/>
    <x v="0"/>
    <x v="0"/>
    <x v="0"/>
    <x v="39"/>
    <x v="39"/>
    <x v="40"/>
    <x v="40"/>
    <x v="40"/>
    <x v="36"/>
    <x v="3"/>
  </r>
  <r>
    <x v="0"/>
    <x v="2"/>
    <x v="2"/>
    <x v="1"/>
    <x v="1"/>
    <x v="1"/>
    <x v="1"/>
    <x v="40"/>
    <x v="40"/>
    <x v="41"/>
    <x v="41"/>
    <x v="41"/>
    <x v="37"/>
    <x v="3"/>
  </r>
  <r>
    <x v="0"/>
    <x v="2"/>
    <x v="2"/>
    <x v="2"/>
    <x v="2"/>
    <x v="2"/>
    <x v="2"/>
    <x v="41"/>
    <x v="41"/>
    <x v="42"/>
    <x v="42"/>
    <x v="42"/>
    <x v="38"/>
    <x v="3"/>
  </r>
  <r>
    <x v="0"/>
    <x v="2"/>
    <x v="2"/>
    <x v="5"/>
    <x v="5"/>
    <x v="5"/>
    <x v="3"/>
    <x v="42"/>
    <x v="42"/>
    <x v="43"/>
    <x v="43"/>
    <x v="43"/>
    <x v="39"/>
    <x v="3"/>
  </r>
  <r>
    <x v="0"/>
    <x v="2"/>
    <x v="2"/>
    <x v="3"/>
    <x v="3"/>
    <x v="3"/>
    <x v="4"/>
    <x v="43"/>
    <x v="43"/>
    <x v="44"/>
    <x v="44"/>
    <x v="44"/>
    <x v="40"/>
    <x v="3"/>
  </r>
  <r>
    <x v="0"/>
    <x v="2"/>
    <x v="2"/>
    <x v="4"/>
    <x v="4"/>
    <x v="4"/>
    <x v="5"/>
    <x v="44"/>
    <x v="44"/>
    <x v="45"/>
    <x v="45"/>
    <x v="45"/>
    <x v="41"/>
    <x v="3"/>
  </r>
  <r>
    <x v="0"/>
    <x v="2"/>
    <x v="2"/>
    <x v="8"/>
    <x v="8"/>
    <x v="8"/>
    <x v="6"/>
    <x v="45"/>
    <x v="45"/>
    <x v="46"/>
    <x v="46"/>
    <x v="46"/>
    <x v="42"/>
    <x v="3"/>
  </r>
  <r>
    <x v="0"/>
    <x v="2"/>
    <x v="2"/>
    <x v="9"/>
    <x v="9"/>
    <x v="9"/>
    <x v="7"/>
    <x v="46"/>
    <x v="46"/>
    <x v="47"/>
    <x v="47"/>
    <x v="47"/>
    <x v="43"/>
    <x v="3"/>
  </r>
  <r>
    <x v="0"/>
    <x v="2"/>
    <x v="2"/>
    <x v="10"/>
    <x v="10"/>
    <x v="10"/>
    <x v="8"/>
    <x v="47"/>
    <x v="47"/>
    <x v="48"/>
    <x v="48"/>
    <x v="48"/>
    <x v="44"/>
    <x v="5"/>
  </r>
  <r>
    <x v="0"/>
    <x v="2"/>
    <x v="2"/>
    <x v="12"/>
    <x v="12"/>
    <x v="12"/>
    <x v="9"/>
    <x v="48"/>
    <x v="48"/>
    <x v="49"/>
    <x v="49"/>
    <x v="49"/>
    <x v="45"/>
    <x v="3"/>
  </r>
  <r>
    <x v="0"/>
    <x v="2"/>
    <x v="2"/>
    <x v="6"/>
    <x v="6"/>
    <x v="6"/>
    <x v="10"/>
    <x v="49"/>
    <x v="49"/>
    <x v="50"/>
    <x v="50"/>
    <x v="50"/>
    <x v="46"/>
    <x v="3"/>
  </r>
  <r>
    <x v="0"/>
    <x v="2"/>
    <x v="2"/>
    <x v="11"/>
    <x v="11"/>
    <x v="11"/>
    <x v="11"/>
    <x v="50"/>
    <x v="50"/>
    <x v="51"/>
    <x v="51"/>
    <x v="51"/>
    <x v="47"/>
    <x v="3"/>
  </r>
  <r>
    <x v="0"/>
    <x v="2"/>
    <x v="2"/>
    <x v="7"/>
    <x v="7"/>
    <x v="7"/>
    <x v="12"/>
    <x v="51"/>
    <x v="51"/>
    <x v="52"/>
    <x v="52"/>
    <x v="40"/>
    <x v="36"/>
    <x v="3"/>
  </r>
  <r>
    <x v="0"/>
    <x v="2"/>
    <x v="2"/>
    <x v="17"/>
    <x v="17"/>
    <x v="17"/>
    <x v="13"/>
    <x v="52"/>
    <x v="52"/>
    <x v="53"/>
    <x v="35"/>
    <x v="52"/>
    <x v="0"/>
    <x v="3"/>
  </r>
  <r>
    <x v="0"/>
    <x v="2"/>
    <x v="2"/>
    <x v="13"/>
    <x v="13"/>
    <x v="13"/>
    <x v="14"/>
    <x v="53"/>
    <x v="53"/>
    <x v="54"/>
    <x v="53"/>
    <x v="53"/>
    <x v="48"/>
    <x v="3"/>
  </r>
  <r>
    <x v="0"/>
    <x v="2"/>
    <x v="2"/>
    <x v="21"/>
    <x v="21"/>
    <x v="21"/>
    <x v="14"/>
    <x v="53"/>
    <x v="53"/>
    <x v="55"/>
    <x v="54"/>
    <x v="54"/>
    <x v="49"/>
    <x v="3"/>
  </r>
  <r>
    <x v="0"/>
    <x v="2"/>
    <x v="2"/>
    <x v="22"/>
    <x v="22"/>
    <x v="22"/>
    <x v="16"/>
    <x v="54"/>
    <x v="54"/>
    <x v="56"/>
    <x v="55"/>
    <x v="51"/>
    <x v="47"/>
    <x v="6"/>
  </r>
  <r>
    <x v="0"/>
    <x v="2"/>
    <x v="2"/>
    <x v="14"/>
    <x v="14"/>
    <x v="14"/>
    <x v="17"/>
    <x v="55"/>
    <x v="55"/>
    <x v="53"/>
    <x v="35"/>
    <x v="55"/>
    <x v="50"/>
    <x v="3"/>
  </r>
  <r>
    <x v="0"/>
    <x v="2"/>
    <x v="2"/>
    <x v="18"/>
    <x v="18"/>
    <x v="18"/>
    <x v="17"/>
    <x v="55"/>
    <x v="55"/>
    <x v="56"/>
    <x v="55"/>
    <x v="56"/>
    <x v="30"/>
    <x v="3"/>
  </r>
  <r>
    <x v="0"/>
    <x v="2"/>
    <x v="2"/>
    <x v="23"/>
    <x v="23"/>
    <x v="23"/>
    <x v="19"/>
    <x v="56"/>
    <x v="56"/>
    <x v="37"/>
    <x v="56"/>
    <x v="49"/>
    <x v="45"/>
    <x v="3"/>
  </r>
  <r>
    <x v="0"/>
    <x v="2"/>
    <x v="2"/>
    <x v="20"/>
    <x v="20"/>
    <x v="20"/>
    <x v="19"/>
    <x v="56"/>
    <x v="56"/>
    <x v="55"/>
    <x v="54"/>
    <x v="48"/>
    <x v="44"/>
    <x v="3"/>
  </r>
  <r>
    <x v="0"/>
    <x v="3"/>
    <x v="3"/>
    <x v="1"/>
    <x v="1"/>
    <x v="1"/>
    <x v="0"/>
    <x v="57"/>
    <x v="57"/>
    <x v="57"/>
    <x v="57"/>
    <x v="40"/>
    <x v="51"/>
    <x v="3"/>
  </r>
  <r>
    <x v="0"/>
    <x v="3"/>
    <x v="3"/>
    <x v="0"/>
    <x v="0"/>
    <x v="0"/>
    <x v="1"/>
    <x v="58"/>
    <x v="58"/>
    <x v="42"/>
    <x v="58"/>
    <x v="57"/>
    <x v="52"/>
    <x v="6"/>
  </r>
  <r>
    <x v="0"/>
    <x v="3"/>
    <x v="3"/>
    <x v="2"/>
    <x v="2"/>
    <x v="2"/>
    <x v="2"/>
    <x v="59"/>
    <x v="59"/>
    <x v="58"/>
    <x v="59"/>
    <x v="58"/>
    <x v="53"/>
    <x v="3"/>
  </r>
  <r>
    <x v="0"/>
    <x v="3"/>
    <x v="3"/>
    <x v="3"/>
    <x v="3"/>
    <x v="3"/>
    <x v="3"/>
    <x v="60"/>
    <x v="60"/>
    <x v="59"/>
    <x v="44"/>
    <x v="59"/>
    <x v="54"/>
    <x v="3"/>
  </r>
  <r>
    <x v="0"/>
    <x v="3"/>
    <x v="3"/>
    <x v="5"/>
    <x v="5"/>
    <x v="5"/>
    <x v="4"/>
    <x v="61"/>
    <x v="61"/>
    <x v="60"/>
    <x v="60"/>
    <x v="60"/>
    <x v="55"/>
    <x v="3"/>
  </r>
  <r>
    <x v="0"/>
    <x v="3"/>
    <x v="3"/>
    <x v="4"/>
    <x v="4"/>
    <x v="4"/>
    <x v="5"/>
    <x v="62"/>
    <x v="62"/>
    <x v="61"/>
    <x v="61"/>
    <x v="61"/>
    <x v="56"/>
    <x v="3"/>
  </r>
  <r>
    <x v="0"/>
    <x v="3"/>
    <x v="3"/>
    <x v="8"/>
    <x v="8"/>
    <x v="8"/>
    <x v="6"/>
    <x v="46"/>
    <x v="63"/>
    <x v="62"/>
    <x v="62"/>
    <x v="62"/>
    <x v="57"/>
    <x v="3"/>
  </r>
  <r>
    <x v="0"/>
    <x v="3"/>
    <x v="3"/>
    <x v="10"/>
    <x v="10"/>
    <x v="10"/>
    <x v="7"/>
    <x v="63"/>
    <x v="64"/>
    <x v="63"/>
    <x v="63"/>
    <x v="63"/>
    <x v="58"/>
    <x v="8"/>
  </r>
  <r>
    <x v="0"/>
    <x v="3"/>
    <x v="3"/>
    <x v="6"/>
    <x v="6"/>
    <x v="6"/>
    <x v="8"/>
    <x v="47"/>
    <x v="65"/>
    <x v="64"/>
    <x v="24"/>
    <x v="64"/>
    <x v="59"/>
    <x v="3"/>
  </r>
  <r>
    <x v="0"/>
    <x v="3"/>
    <x v="3"/>
    <x v="9"/>
    <x v="9"/>
    <x v="9"/>
    <x v="9"/>
    <x v="64"/>
    <x v="66"/>
    <x v="65"/>
    <x v="64"/>
    <x v="65"/>
    <x v="60"/>
    <x v="3"/>
  </r>
  <r>
    <x v="0"/>
    <x v="3"/>
    <x v="3"/>
    <x v="23"/>
    <x v="23"/>
    <x v="23"/>
    <x v="10"/>
    <x v="65"/>
    <x v="67"/>
    <x v="46"/>
    <x v="65"/>
    <x v="66"/>
    <x v="61"/>
    <x v="3"/>
  </r>
  <r>
    <x v="0"/>
    <x v="3"/>
    <x v="3"/>
    <x v="7"/>
    <x v="7"/>
    <x v="7"/>
    <x v="11"/>
    <x v="66"/>
    <x v="48"/>
    <x v="66"/>
    <x v="66"/>
    <x v="54"/>
    <x v="62"/>
    <x v="3"/>
  </r>
  <r>
    <x v="0"/>
    <x v="3"/>
    <x v="3"/>
    <x v="11"/>
    <x v="11"/>
    <x v="11"/>
    <x v="12"/>
    <x v="67"/>
    <x v="68"/>
    <x v="67"/>
    <x v="67"/>
    <x v="54"/>
    <x v="62"/>
    <x v="3"/>
  </r>
  <r>
    <x v="0"/>
    <x v="3"/>
    <x v="3"/>
    <x v="12"/>
    <x v="12"/>
    <x v="12"/>
    <x v="13"/>
    <x v="68"/>
    <x v="69"/>
    <x v="68"/>
    <x v="12"/>
    <x v="54"/>
    <x v="62"/>
    <x v="3"/>
  </r>
  <r>
    <x v="0"/>
    <x v="3"/>
    <x v="3"/>
    <x v="13"/>
    <x v="13"/>
    <x v="13"/>
    <x v="14"/>
    <x v="69"/>
    <x v="70"/>
    <x v="69"/>
    <x v="68"/>
    <x v="56"/>
    <x v="63"/>
    <x v="3"/>
  </r>
  <r>
    <x v="0"/>
    <x v="3"/>
    <x v="3"/>
    <x v="17"/>
    <x v="17"/>
    <x v="17"/>
    <x v="15"/>
    <x v="70"/>
    <x v="71"/>
    <x v="37"/>
    <x v="46"/>
    <x v="52"/>
    <x v="64"/>
    <x v="3"/>
  </r>
  <r>
    <x v="0"/>
    <x v="3"/>
    <x v="3"/>
    <x v="20"/>
    <x v="20"/>
    <x v="20"/>
    <x v="16"/>
    <x v="71"/>
    <x v="38"/>
    <x v="37"/>
    <x v="46"/>
    <x v="54"/>
    <x v="62"/>
    <x v="3"/>
  </r>
  <r>
    <x v="0"/>
    <x v="3"/>
    <x v="3"/>
    <x v="18"/>
    <x v="18"/>
    <x v="18"/>
    <x v="16"/>
    <x v="71"/>
    <x v="38"/>
    <x v="70"/>
    <x v="69"/>
    <x v="55"/>
    <x v="17"/>
    <x v="3"/>
  </r>
  <r>
    <x v="0"/>
    <x v="3"/>
    <x v="3"/>
    <x v="16"/>
    <x v="16"/>
    <x v="16"/>
    <x v="18"/>
    <x v="56"/>
    <x v="72"/>
    <x v="71"/>
    <x v="70"/>
    <x v="63"/>
    <x v="58"/>
    <x v="3"/>
  </r>
  <r>
    <x v="0"/>
    <x v="3"/>
    <x v="3"/>
    <x v="15"/>
    <x v="15"/>
    <x v="15"/>
    <x v="19"/>
    <x v="72"/>
    <x v="73"/>
    <x v="72"/>
    <x v="71"/>
    <x v="63"/>
    <x v="58"/>
    <x v="3"/>
  </r>
  <r>
    <x v="0"/>
    <x v="4"/>
    <x v="4"/>
    <x v="2"/>
    <x v="2"/>
    <x v="2"/>
    <x v="0"/>
    <x v="41"/>
    <x v="74"/>
    <x v="73"/>
    <x v="72"/>
    <x v="67"/>
    <x v="65"/>
    <x v="3"/>
  </r>
  <r>
    <x v="0"/>
    <x v="4"/>
    <x v="4"/>
    <x v="0"/>
    <x v="0"/>
    <x v="0"/>
    <x v="1"/>
    <x v="73"/>
    <x v="75"/>
    <x v="74"/>
    <x v="73"/>
    <x v="63"/>
    <x v="47"/>
    <x v="3"/>
  </r>
  <r>
    <x v="0"/>
    <x v="4"/>
    <x v="4"/>
    <x v="1"/>
    <x v="1"/>
    <x v="1"/>
    <x v="2"/>
    <x v="74"/>
    <x v="76"/>
    <x v="75"/>
    <x v="74"/>
    <x v="63"/>
    <x v="47"/>
    <x v="3"/>
  </r>
  <r>
    <x v="0"/>
    <x v="4"/>
    <x v="4"/>
    <x v="5"/>
    <x v="5"/>
    <x v="5"/>
    <x v="3"/>
    <x v="75"/>
    <x v="77"/>
    <x v="76"/>
    <x v="75"/>
    <x v="49"/>
    <x v="66"/>
    <x v="3"/>
  </r>
  <r>
    <x v="0"/>
    <x v="4"/>
    <x v="4"/>
    <x v="3"/>
    <x v="3"/>
    <x v="3"/>
    <x v="4"/>
    <x v="76"/>
    <x v="78"/>
    <x v="77"/>
    <x v="76"/>
    <x v="68"/>
    <x v="67"/>
    <x v="3"/>
  </r>
  <r>
    <x v="0"/>
    <x v="4"/>
    <x v="4"/>
    <x v="4"/>
    <x v="4"/>
    <x v="4"/>
    <x v="5"/>
    <x v="46"/>
    <x v="79"/>
    <x v="78"/>
    <x v="77"/>
    <x v="69"/>
    <x v="68"/>
    <x v="3"/>
  </r>
  <r>
    <x v="0"/>
    <x v="4"/>
    <x v="4"/>
    <x v="8"/>
    <x v="8"/>
    <x v="8"/>
    <x v="6"/>
    <x v="65"/>
    <x v="80"/>
    <x v="79"/>
    <x v="78"/>
    <x v="70"/>
    <x v="69"/>
    <x v="3"/>
  </r>
  <r>
    <x v="0"/>
    <x v="4"/>
    <x v="4"/>
    <x v="9"/>
    <x v="9"/>
    <x v="9"/>
    <x v="7"/>
    <x v="77"/>
    <x v="81"/>
    <x v="63"/>
    <x v="79"/>
    <x v="65"/>
    <x v="70"/>
    <x v="3"/>
  </r>
  <r>
    <x v="0"/>
    <x v="4"/>
    <x v="4"/>
    <x v="6"/>
    <x v="6"/>
    <x v="6"/>
    <x v="8"/>
    <x v="78"/>
    <x v="82"/>
    <x v="50"/>
    <x v="80"/>
    <x v="60"/>
    <x v="71"/>
    <x v="3"/>
  </r>
  <r>
    <x v="0"/>
    <x v="4"/>
    <x v="4"/>
    <x v="17"/>
    <x v="17"/>
    <x v="17"/>
    <x v="9"/>
    <x v="79"/>
    <x v="83"/>
    <x v="72"/>
    <x v="81"/>
    <x v="71"/>
    <x v="72"/>
    <x v="3"/>
  </r>
  <r>
    <x v="0"/>
    <x v="4"/>
    <x v="4"/>
    <x v="12"/>
    <x v="12"/>
    <x v="12"/>
    <x v="10"/>
    <x v="80"/>
    <x v="84"/>
    <x v="80"/>
    <x v="82"/>
    <x v="53"/>
    <x v="73"/>
    <x v="3"/>
  </r>
  <r>
    <x v="0"/>
    <x v="4"/>
    <x v="4"/>
    <x v="10"/>
    <x v="10"/>
    <x v="10"/>
    <x v="10"/>
    <x v="80"/>
    <x v="84"/>
    <x v="81"/>
    <x v="83"/>
    <x v="72"/>
    <x v="74"/>
    <x v="3"/>
  </r>
  <r>
    <x v="0"/>
    <x v="4"/>
    <x v="4"/>
    <x v="14"/>
    <x v="14"/>
    <x v="14"/>
    <x v="12"/>
    <x v="81"/>
    <x v="85"/>
    <x v="82"/>
    <x v="19"/>
    <x v="52"/>
    <x v="75"/>
    <x v="3"/>
  </r>
  <r>
    <x v="0"/>
    <x v="4"/>
    <x v="4"/>
    <x v="7"/>
    <x v="7"/>
    <x v="7"/>
    <x v="13"/>
    <x v="82"/>
    <x v="15"/>
    <x v="83"/>
    <x v="84"/>
    <x v="72"/>
    <x v="74"/>
    <x v="3"/>
  </r>
  <r>
    <x v="0"/>
    <x v="4"/>
    <x v="4"/>
    <x v="18"/>
    <x v="18"/>
    <x v="18"/>
    <x v="14"/>
    <x v="55"/>
    <x v="33"/>
    <x v="56"/>
    <x v="55"/>
    <x v="73"/>
    <x v="76"/>
    <x v="3"/>
  </r>
  <r>
    <x v="0"/>
    <x v="4"/>
    <x v="4"/>
    <x v="11"/>
    <x v="11"/>
    <x v="11"/>
    <x v="15"/>
    <x v="71"/>
    <x v="86"/>
    <x v="62"/>
    <x v="85"/>
    <x v="72"/>
    <x v="74"/>
    <x v="3"/>
  </r>
  <r>
    <x v="0"/>
    <x v="4"/>
    <x v="4"/>
    <x v="15"/>
    <x v="15"/>
    <x v="15"/>
    <x v="16"/>
    <x v="56"/>
    <x v="17"/>
    <x v="71"/>
    <x v="86"/>
    <x v="63"/>
    <x v="47"/>
    <x v="3"/>
  </r>
  <r>
    <x v="0"/>
    <x v="4"/>
    <x v="4"/>
    <x v="13"/>
    <x v="13"/>
    <x v="13"/>
    <x v="17"/>
    <x v="83"/>
    <x v="87"/>
    <x v="55"/>
    <x v="87"/>
    <x v="48"/>
    <x v="77"/>
    <x v="3"/>
  </r>
  <r>
    <x v="0"/>
    <x v="4"/>
    <x v="4"/>
    <x v="21"/>
    <x v="21"/>
    <x v="21"/>
    <x v="18"/>
    <x v="84"/>
    <x v="53"/>
    <x v="84"/>
    <x v="88"/>
    <x v="47"/>
    <x v="48"/>
    <x v="3"/>
  </r>
  <r>
    <x v="0"/>
    <x v="4"/>
    <x v="4"/>
    <x v="19"/>
    <x v="19"/>
    <x v="19"/>
    <x v="19"/>
    <x v="85"/>
    <x v="73"/>
    <x v="70"/>
    <x v="89"/>
    <x v="53"/>
    <x v="73"/>
    <x v="6"/>
  </r>
  <r>
    <x v="0"/>
    <x v="5"/>
    <x v="5"/>
    <x v="0"/>
    <x v="0"/>
    <x v="0"/>
    <x v="0"/>
    <x v="86"/>
    <x v="88"/>
    <x v="85"/>
    <x v="90"/>
    <x v="74"/>
    <x v="78"/>
    <x v="3"/>
  </r>
  <r>
    <x v="0"/>
    <x v="5"/>
    <x v="5"/>
    <x v="2"/>
    <x v="2"/>
    <x v="2"/>
    <x v="1"/>
    <x v="87"/>
    <x v="89"/>
    <x v="86"/>
    <x v="91"/>
    <x v="75"/>
    <x v="79"/>
    <x v="6"/>
  </r>
  <r>
    <x v="0"/>
    <x v="5"/>
    <x v="5"/>
    <x v="1"/>
    <x v="1"/>
    <x v="1"/>
    <x v="2"/>
    <x v="88"/>
    <x v="90"/>
    <x v="87"/>
    <x v="92"/>
    <x v="76"/>
    <x v="80"/>
    <x v="3"/>
  </r>
  <r>
    <x v="0"/>
    <x v="5"/>
    <x v="5"/>
    <x v="3"/>
    <x v="3"/>
    <x v="3"/>
    <x v="3"/>
    <x v="89"/>
    <x v="91"/>
    <x v="88"/>
    <x v="93"/>
    <x v="77"/>
    <x v="81"/>
    <x v="0"/>
  </r>
  <r>
    <x v="0"/>
    <x v="5"/>
    <x v="5"/>
    <x v="5"/>
    <x v="5"/>
    <x v="5"/>
    <x v="4"/>
    <x v="90"/>
    <x v="92"/>
    <x v="89"/>
    <x v="94"/>
    <x v="76"/>
    <x v="80"/>
    <x v="3"/>
  </r>
  <r>
    <x v="0"/>
    <x v="5"/>
    <x v="5"/>
    <x v="7"/>
    <x v="7"/>
    <x v="7"/>
    <x v="5"/>
    <x v="91"/>
    <x v="93"/>
    <x v="90"/>
    <x v="95"/>
    <x v="78"/>
    <x v="82"/>
    <x v="3"/>
  </r>
  <r>
    <x v="0"/>
    <x v="5"/>
    <x v="5"/>
    <x v="4"/>
    <x v="4"/>
    <x v="4"/>
    <x v="6"/>
    <x v="92"/>
    <x v="94"/>
    <x v="91"/>
    <x v="96"/>
    <x v="79"/>
    <x v="83"/>
    <x v="3"/>
  </r>
  <r>
    <x v="0"/>
    <x v="5"/>
    <x v="5"/>
    <x v="12"/>
    <x v="12"/>
    <x v="12"/>
    <x v="7"/>
    <x v="93"/>
    <x v="95"/>
    <x v="92"/>
    <x v="97"/>
    <x v="80"/>
    <x v="84"/>
    <x v="0"/>
  </r>
  <r>
    <x v="0"/>
    <x v="5"/>
    <x v="5"/>
    <x v="9"/>
    <x v="9"/>
    <x v="9"/>
    <x v="8"/>
    <x v="94"/>
    <x v="96"/>
    <x v="93"/>
    <x v="98"/>
    <x v="81"/>
    <x v="85"/>
    <x v="3"/>
  </r>
  <r>
    <x v="0"/>
    <x v="5"/>
    <x v="5"/>
    <x v="8"/>
    <x v="8"/>
    <x v="8"/>
    <x v="9"/>
    <x v="95"/>
    <x v="97"/>
    <x v="61"/>
    <x v="15"/>
    <x v="82"/>
    <x v="86"/>
    <x v="3"/>
  </r>
  <r>
    <x v="0"/>
    <x v="5"/>
    <x v="5"/>
    <x v="14"/>
    <x v="14"/>
    <x v="14"/>
    <x v="10"/>
    <x v="96"/>
    <x v="98"/>
    <x v="71"/>
    <x v="99"/>
    <x v="83"/>
    <x v="87"/>
    <x v="3"/>
  </r>
  <r>
    <x v="0"/>
    <x v="5"/>
    <x v="5"/>
    <x v="6"/>
    <x v="6"/>
    <x v="6"/>
    <x v="11"/>
    <x v="97"/>
    <x v="99"/>
    <x v="94"/>
    <x v="100"/>
    <x v="84"/>
    <x v="88"/>
    <x v="3"/>
  </r>
  <r>
    <x v="0"/>
    <x v="5"/>
    <x v="5"/>
    <x v="10"/>
    <x v="10"/>
    <x v="10"/>
    <x v="12"/>
    <x v="98"/>
    <x v="100"/>
    <x v="95"/>
    <x v="101"/>
    <x v="59"/>
    <x v="89"/>
    <x v="6"/>
  </r>
  <r>
    <x v="0"/>
    <x v="5"/>
    <x v="5"/>
    <x v="16"/>
    <x v="16"/>
    <x v="16"/>
    <x v="13"/>
    <x v="99"/>
    <x v="101"/>
    <x v="69"/>
    <x v="102"/>
    <x v="85"/>
    <x v="90"/>
    <x v="3"/>
  </r>
  <r>
    <x v="0"/>
    <x v="5"/>
    <x v="5"/>
    <x v="15"/>
    <x v="15"/>
    <x v="15"/>
    <x v="14"/>
    <x v="100"/>
    <x v="102"/>
    <x v="55"/>
    <x v="103"/>
    <x v="86"/>
    <x v="32"/>
    <x v="3"/>
  </r>
  <r>
    <x v="0"/>
    <x v="5"/>
    <x v="5"/>
    <x v="13"/>
    <x v="13"/>
    <x v="13"/>
    <x v="14"/>
    <x v="100"/>
    <x v="102"/>
    <x v="67"/>
    <x v="104"/>
    <x v="87"/>
    <x v="91"/>
    <x v="3"/>
  </r>
  <r>
    <x v="0"/>
    <x v="5"/>
    <x v="5"/>
    <x v="20"/>
    <x v="20"/>
    <x v="20"/>
    <x v="16"/>
    <x v="101"/>
    <x v="34"/>
    <x v="49"/>
    <x v="105"/>
    <x v="43"/>
    <x v="92"/>
    <x v="3"/>
  </r>
  <r>
    <x v="0"/>
    <x v="5"/>
    <x v="5"/>
    <x v="17"/>
    <x v="17"/>
    <x v="17"/>
    <x v="17"/>
    <x v="102"/>
    <x v="18"/>
    <x v="37"/>
    <x v="106"/>
    <x v="88"/>
    <x v="93"/>
    <x v="3"/>
  </r>
  <r>
    <x v="0"/>
    <x v="5"/>
    <x v="5"/>
    <x v="19"/>
    <x v="19"/>
    <x v="19"/>
    <x v="18"/>
    <x v="103"/>
    <x v="103"/>
    <x v="53"/>
    <x v="107"/>
    <x v="89"/>
    <x v="4"/>
    <x v="8"/>
  </r>
  <r>
    <x v="0"/>
    <x v="5"/>
    <x v="5"/>
    <x v="24"/>
    <x v="24"/>
    <x v="24"/>
    <x v="19"/>
    <x v="104"/>
    <x v="37"/>
    <x v="72"/>
    <x v="108"/>
    <x v="90"/>
    <x v="94"/>
    <x v="3"/>
  </r>
  <r>
    <x v="0"/>
    <x v="6"/>
    <x v="6"/>
    <x v="1"/>
    <x v="1"/>
    <x v="1"/>
    <x v="0"/>
    <x v="105"/>
    <x v="104"/>
    <x v="96"/>
    <x v="109"/>
    <x v="91"/>
    <x v="95"/>
    <x v="3"/>
  </r>
  <r>
    <x v="0"/>
    <x v="6"/>
    <x v="6"/>
    <x v="2"/>
    <x v="2"/>
    <x v="2"/>
    <x v="1"/>
    <x v="38"/>
    <x v="105"/>
    <x v="97"/>
    <x v="110"/>
    <x v="92"/>
    <x v="96"/>
    <x v="3"/>
  </r>
  <r>
    <x v="0"/>
    <x v="6"/>
    <x v="6"/>
    <x v="4"/>
    <x v="4"/>
    <x v="4"/>
    <x v="2"/>
    <x v="39"/>
    <x v="106"/>
    <x v="39"/>
    <x v="111"/>
    <x v="93"/>
    <x v="97"/>
    <x v="3"/>
  </r>
  <r>
    <x v="0"/>
    <x v="6"/>
    <x v="6"/>
    <x v="8"/>
    <x v="8"/>
    <x v="8"/>
    <x v="3"/>
    <x v="106"/>
    <x v="61"/>
    <x v="98"/>
    <x v="112"/>
    <x v="94"/>
    <x v="98"/>
    <x v="3"/>
  </r>
  <r>
    <x v="0"/>
    <x v="6"/>
    <x v="6"/>
    <x v="0"/>
    <x v="0"/>
    <x v="0"/>
    <x v="4"/>
    <x v="107"/>
    <x v="107"/>
    <x v="99"/>
    <x v="113"/>
    <x v="95"/>
    <x v="99"/>
    <x v="3"/>
  </r>
  <r>
    <x v="0"/>
    <x v="6"/>
    <x v="6"/>
    <x v="6"/>
    <x v="6"/>
    <x v="6"/>
    <x v="5"/>
    <x v="41"/>
    <x v="108"/>
    <x v="100"/>
    <x v="114"/>
    <x v="82"/>
    <x v="100"/>
    <x v="3"/>
  </r>
  <r>
    <x v="0"/>
    <x v="6"/>
    <x v="6"/>
    <x v="3"/>
    <x v="3"/>
    <x v="3"/>
    <x v="6"/>
    <x v="108"/>
    <x v="109"/>
    <x v="101"/>
    <x v="115"/>
    <x v="96"/>
    <x v="101"/>
    <x v="6"/>
  </r>
  <r>
    <x v="0"/>
    <x v="6"/>
    <x v="6"/>
    <x v="5"/>
    <x v="5"/>
    <x v="5"/>
    <x v="7"/>
    <x v="109"/>
    <x v="110"/>
    <x v="102"/>
    <x v="116"/>
    <x v="97"/>
    <x v="102"/>
    <x v="3"/>
  </r>
  <r>
    <x v="0"/>
    <x v="6"/>
    <x v="6"/>
    <x v="9"/>
    <x v="9"/>
    <x v="9"/>
    <x v="8"/>
    <x v="58"/>
    <x v="111"/>
    <x v="26"/>
    <x v="117"/>
    <x v="40"/>
    <x v="103"/>
    <x v="3"/>
  </r>
  <r>
    <x v="0"/>
    <x v="6"/>
    <x v="6"/>
    <x v="10"/>
    <x v="10"/>
    <x v="10"/>
    <x v="9"/>
    <x v="110"/>
    <x v="112"/>
    <x v="103"/>
    <x v="118"/>
    <x v="98"/>
    <x v="104"/>
    <x v="8"/>
  </r>
  <r>
    <x v="0"/>
    <x v="6"/>
    <x v="6"/>
    <x v="11"/>
    <x v="11"/>
    <x v="11"/>
    <x v="10"/>
    <x v="111"/>
    <x v="113"/>
    <x v="104"/>
    <x v="119"/>
    <x v="99"/>
    <x v="105"/>
    <x v="3"/>
  </r>
  <r>
    <x v="0"/>
    <x v="6"/>
    <x v="6"/>
    <x v="14"/>
    <x v="14"/>
    <x v="14"/>
    <x v="11"/>
    <x v="112"/>
    <x v="114"/>
    <x v="71"/>
    <x v="120"/>
    <x v="100"/>
    <x v="106"/>
    <x v="3"/>
  </r>
  <r>
    <x v="0"/>
    <x v="6"/>
    <x v="6"/>
    <x v="7"/>
    <x v="7"/>
    <x v="7"/>
    <x v="12"/>
    <x v="113"/>
    <x v="31"/>
    <x v="105"/>
    <x v="121"/>
    <x v="101"/>
    <x v="107"/>
    <x v="3"/>
  </r>
  <r>
    <x v="0"/>
    <x v="6"/>
    <x v="6"/>
    <x v="18"/>
    <x v="18"/>
    <x v="18"/>
    <x v="13"/>
    <x v="45"/>
    <x v="115"/>
    <x v="79"/>
    <x v="122"/>
    <x v="102"/>
    <x v="108"/>
    <x v="6"/>
  </r>
  <r>
    <x v="0"/>
    <x v="6"/>
    <x v="6"/>
    <x v="15"/>
    <x v="15"/>
    <x v="15"/>
    <x v="14"/>
    <x v="46"/>
    <x v="116"/>
    <x v="106"/>
    <x v="123"/>
    <x v="103"/>
    <x v="109"/>
    <x v="3"/>
  </r>
  <r>
    <x v="0"/>
    <x v="6"/>
    <x v="6"/>
    <x v="13"/>
    <x v="13"/>
    <x v="13"/>
    <x v="15"/>
    <x v="47"/>
    <x v="117"/>
    <x v="66"/>
    <x v="124"/>
    <x v="101"/>
    <x v="107"/>
    <x v="3"/>
  </r>
  <r>
    <x v="0"/>
    <x v="6"/>
    <x v="6"/>
    <x v="12"/>
    <x v="12"/>
    <x v="12"/>
    <x v="16"/>
    <x v="48"/>
    <x v="118"/>
    <x v="78"/>
    <x v="125"/>
    <x v="101"/>
    <x v="107"/>
    <x v="3"/>
  </r>
  <r>
    <x v="0"/>
    <x v="6"/>
    <x v="6"/>
    <x v="25"/>
    <x v="25"/>
    <x v="25"/>
    <x v="17"/>
    <x v="50"/>
    <x v="35"/>
    <x v="18"/>
    <x v="126"/>
    <x v="63"/>
    <x v="110"/>
    <x v="3"/>
  </r>
  <r>
    <x v="0"/>
    <x v="6"/>
    <x v="6"/>
    <x v="20"/>
    <x v="20"/>
    <x v="20"/>
    <x v="18"/>
    <x v="65"/>
    <x v="119"/>
    <x v="80"/>
    <x v="127"/>
    <x v="104"/>
    <x v="111"/>
    <x v="3"/>
  </r>
  <r>
    <x v="0"/>
    <x v="6"/>
    <x v="6"/>
    <x v="17"/>
    <x v="17"/>
    <x v="17"/>
    <x v="19"/>
    <x v="114"/>
    <x v="120"/>
    <x v="71"/>
    <x v="120"/>
    <x v="105"/>
    <x v="112"/>
    <x v="3"/>
  </r>
  <r>
    <x v="0"/>
    <x v="7"/>
    <x v="7"/>
    <x v="2"/>
    <x v="2"/>
    <x v="2"/>
    <x v="0"/>
    <x v="115"/>
    <x v="121"/>
    <x v="107"/>
    <x v="128"/>
    <x v="106"/>
    <x v="113"/>
    <x v="3"/>
  </r>
  <r>
    <x v="0"/>
    <x v="7"/>
    <x v="7"/>
    <x v="0"/>
    <x v="0"/>
    <x v="0"/>
    <x v="1"/>
    <x v="116"/>
    <x v="122"/>
    <x v="108"/>
    <x v="129"/>
    <x v="57"/>
    <x v="114"/>
    <x v="3"/>
  </r>
  <r>
    <x v="0"/>
    <x v="7"/>
    <x v="7"/>
    <x v="1"/>
    <x v="1"/>
    <x v="1"/>
    <x v="2"/>
    <x v="73"/>
    <x v="123"/>
    <x v="109"/>
    <x v="130"/>
    <x v="53"/>
    <x v="30"/>
    <x v="3"/>
  </r>
  <r>
    <x v="0"/>
    <x v="7"/>
    <x v="7"/>
    <x v="5"/>
    <x v="5"/>
    <x v="5"/>
    <x v="3"/>
    <x v="117"/>
    <x v="124"/>
    <x v="110"/>
    <x v="131"/>
    <x v="56"/>
    <x v="115"/>
    <x v="3"/>
  </r>
  <r>
    <x v="0"/>
    <x v="7"/>
    <x v="7"/>
    <x v="3"/>
    <x v="3"/>
    <x v="3"/>
    <x v="4"/>
    <x v="118"/>
    <x v="125"/>
    <x v="111"/>
    <x v="132"/>
    <x v="97"/>
    <x v="81"/>
    <x v="3"/>
  </r>
  <r>
    <x v="0"/>
    <x v="7"/>
    <x v="7"/>
    <x v="4"/>
    <x v="4"/>
    <x v="4"/>
    <x v="5"/>
    <x v="119"/>
    <x v="126"/>
    <x v="62"/>
    <x v="133"/>
    <x v="106"/>
    <x v="113"/>
    <x v="3"/>
  </r>
  <r>
    <x v="0"/>
    <x v="7"/>
    <x v="7"/>
    <x v="8"/>
    <x v="8"/>
    <x v="8"/>
    <x v="6"/>
    <x v="120"/>
    <x v="127"/>
    <x v="91"/>
    <x v="134"/>
    <x v="99"/>
    <x v="116"/>
    <x v="3"/>
  </r>
  <r>
    <x v="0"/>
    <x v="7"/>
    <x v="7"/>
    <x v="9"/>
    <x v="9"/>
    <x v="9"/>
    <x v="7"/>
    <x v="121"/>
    <x v="95"/>
    <x v="112"/>
    <x v="135"/>
    <x v="48"/>
    <x v="117"/>
    <x v="3"/>
  </r>
  <r>
    <x v="0"/>
    <x v="7"/>
    <x v="7"/>
    <x v="6"/>
    <x v="6"/>
    <x v="6"/>
    <x v="8"/>
    <x v="122"/>
    <x v="128"/>
    <x v="62"/>
    <x v="133"/>
    <x v="64"/>
    <x v="118"/>
    <x v="3"/>
  </r>
  <r>
    <x v="0"/>
    <x v="7"/>
    <x v="7"/>
    <x v="10"/>
    <x v="10"/>
    <x v="10"/>
    <x v="9"/>
    <x v="50"/>
    <x v="8"/>
    <x v="105"/>
    <x v="136"/>
    <x v="107"/>
    <x v="119"/>
    <x v="3"/>
  </r>
  <r>
    <x v="0"/>
    <x v="7"/>
    <x v="7"/>
    <x v="12"/>
    <x v="12"/>
    <x v="12"/>
    <x v="10"/>
    <x v="123"/>
    <x v="129"/>
    <x v="113"/>
    <x v="137"/>
    <x v="108"/>
    <x v="120"/>
    <x v="3"/>
  </r>
  <r>
    <x v="0"/>
    <x v="7"/>
    <x v="7"/>
    <x v="7"/>
    <x v="7"/>
    <x v="7"/>
    <x v="11"/>
    <x v="79"/>
    <x v="130"/>
    <x v="68"/>
    <x v="138"/>
    <x v="73"/>
    <x v="121"/>
    <x v="3"/>
  </r>
  <r>
    <x v="0"/>
    <x v="7"/>
    <x v="7"/>
    <x v="11"/>
    <x v="11"/>
    <x v="11"/>
    <x v="12"/>
    <x v="124"/>
    <x v="131"/>
    <x v="83"/>
    <x v="139"/>
    <x v="109"/>
    <x v="122"/>
    <x v="3"/>
  </r>
  <r>
    <x v="0"/>
    <x v="7"/>
    <x v="7"/>
    <x v="13"/>
    <x v="13"/>
    <x v="13"/>
    <x v="12"/>
    <x v="124"/>
    <x v="131"/>
    <x v="114"/>
    <x v="140"/>
    <x v="54"/>
    <x v="123"/>
    <x v="3"/>
  </r>
  <r>
    <x v="0"/>
    <x v="7"/>
    <x v="7"/>
    <x v="18"/>
    <x v="18"/>
    <x v="18"/>
    <x v="14"/>
    <x v="71"/>
    <x v="132"/>
    <x v="70"/>
    <x v="69"/>
    <x v="56"/>
    <x v="115"/>
    <x v="3"/>
  </r>
  <r>
    <x v="0"/>
    <x v="7"/>
    <x v="7"/>
    <x v="19"/>
    <x v="19"/>
    <x v="19"/>
    <x v="15"/>
    <x v="56"/>
    <x v="133"/>
    <x v="82"/>
    <x v="106"/>
    <x v="55"/>
    <x v="124"/>
    <x v="3"/>
  </r>
  <r>
    <x v="0"/>
    <x v="7"/>
    <x v="7"/>
    <x v="15"/>
    <x v="15"/>
    <x v="15"/>
    <x v="16"/>
    <x v="83"/>
    <x v="134"/>
    <x v="53"/>
    <x v="141"/>
    <x v="54"/>
    <x v="123"/>
    <x v="3"/>
  </r>
  <r>
    <x v="0"/>
    <x v="7"/>
    <x v="7"/>
    <x v="20"/>
    <x v="20"/>
    <x v="20"/>
    <x v="16"/>
    <x v="83"/>
    <x v="134"/>
    <x v="54"/>
    <x v="142"/>
    <x v="57"/>
    <x v="114"/>
    <x v="3"/>
  </r>
  <r>
    <x v="0"/>
    <x v="7"/>
    <x v="7"/>
    <x v="17"/>
    <x v="17"/>
    <x v="17"/>
    <x v="18"/>
    <x v="125"/>
    <x v="135"/>
    <x v="79"/>
    <x v="143"/>
    <x v="49"/>
    <x v="125"/>
    <x v="3"/>
  </r>
  <r>
    <x v="0"/>
    <x v="7"/>
    <x v="7"/>
    <x v="21"/>
    <x v="21"/>
    <x v="21"/>
    <x v="19"/>
    <x v="126"/>
    <x v="136"/>
    <x v="46"/>
    <x v="86"/>
    <x v="72"/>
    <x v="126"/>
    <x v="3"/>
  </r>
  <r>
    <x v="0"/>
    <x v="8"/>
    <x v="8"/>
    <x v="0"/>
    <x v="0"/>
    <x v="0"/>
    <x v="0"/>
    <x v="127"/>
    <x v="137"/>
    <x v="115"/>
    <x v="144"/>
    <x v="42"/>
    <x v="33"/>
    <x v="3"/>
  </r>
  <r>
    <x v="0"/>
    <x v="8"/>
    <x v="8"/>
    <x v="1"/>
    <x v="1"/>
    <x v="1"/>
    <x v="1"/>
    <x v="128"/>
    <x v="138"/>
    <x v="116"/>
    <x v="145"/>
    <x v="110"/>
    <x v="127"/>
    <x v="6"/>
  </r>
  <r>
    <x v="0"/>
    <x v="8"/>
    <x v="8"/>
    <x v="2"/>
    <x v="2"/>
    <x v="2"/>
    <x v="2"/>
    <x v="129"/>
    <x v="139"/>
    <x v="117"/>
    <x v="146"/>
    <x v="111"/>
    <x v="128"/>
    <x v="3"/>
  </r>
  <r>
    <x v="0"/>
    <x v="8"/>
    <x v="8"/>
    <x v="4"/>
    <x v="4"/>
    <x v="4"/>
    <x v="3"/>
    <x v="130"/>
    <x v="140"/>
    <x v="118"/>
    <x v="147"/>
    <x v="112"/>
    <x v="129"/>
    <x v="3"/>
  </r>
  <r>
    <x v="0"/>
    <x v="8"/>
    <x v="8"/>
    <x v="3"/>
    <x v="3"/>
    <x v="3"/>
    <x v="4"/>
    <x v="131"/>
    <x v="141"/>
    <x v="57"/>
    <x v="28"/>
    <x v="113"/>
    <x v="130"/>
    <x v="3"/>
  </r>
  <r>
    <x v="0"/>
    <x v="8"/>
    <x v="8"/>
    <x v="5"/>
    <x v="5"/>
    <x v="5"/>
    <x v="5"/>
    <x v="132"/>
    <x v="142"/>
    <x v="119"/>
    <x v="148"/>
    <x v="64"/>
    <x v="107"/>
    <x v="3"/>
  </r>
  <r>
    <x v="0"/>
    <x v="8"/>
    <x v="8"/>
    <x v="6"/>
    <x v="6"/>
    <x v="6"/>
    <x v="6"/>
    <x v="133"/>
    <x v="143"/>
    <x v="120"/>
    <x v="149"/>
    <x v="114"/>
    <x v="131"/>
    <x v="3"/>
  </r>
  <r>
    <x v="0"/>
    <x v="8"/>
    <x v="8"/>
    <x v="8"/>
    <x v="8"/>
    <x v="8"/>
    <x v="7"/>
    <x v="134"/>
    <x v="144"/>
    <x v="121"/>
    <x v="150"/>
    <x v="115"/>
    <x v="132"/>
    <x v="3"/>
  </r>
  <r>
    <x v="0"/>
    <x v="8"/>
    <x v="8"/>
    <x v="9"/>
    <x v="9"/>
    <x v="9"/>
    <x v="8"/>
    <x v="135"/>
    <x v="145"/>
    <x v="122"/>
    <x v="23"/>
    <x v="60"/>
    <x v="126"/>
    <x v="3"/>
  </r>
  <r>
    <x v="0"/>
    <x v="8"/>
    <x v="8"/>
    <x v="11"/>
    <x v="11"/>
    <x v="11"/>
    <x v="9"/>
    <x v="136"/>
    <x v="146"/>
    <x v="123"/>
    <x v="151"/>
    <x v="116"/>
    <x v="133"/>
    <x v="3"/>
  </r>
  <r>
    <x v="0"/>
    <x v="8"/>
    <x v="8"/>
    <x v="7"/>
    <x v="7"/>
    <x v="7"/>
    <x v="10"/>
    <x v="137"/>
    <x v="147"/>
    <x v="124"/>
    <x v="152"/>
    <x v="106"/>
    <x v="134"/>
    <x v="3"/>
  </r>
  <r>
    <x v="0"/>
    <x v="8"/>
    <x v="8"/>
    <x v="10"/>
    <x v="10"/>
    <x v="10"/>
    <x v="11"/>
    <x v="138"/>
    <x v="148"/>
    <x v="125"/>
    <x v="153"/>
    <x v="117"/>
    <x v="135"/>
    <x v="0"/>
  </r>
  <r>
    <x v="0"/>
    <x v="8"/>
    <x v="8"/>
    <x v="13"/>
    <x v="13"/>
    <x v="13"/>
    <x v="12"/>
    <x v="139"/>
    <x v="149"/>
    <x v="112"/>
    <x v="154"/>
    <x v="102"/>
    <x v="136"/>
    <x v="3"/>
  </r>
  <r>
    <x v="0"/>
    <x v="8"/>
    <x v="8"/>
    <x v="12"/>
    <x v="12"/>
    <x v="12"/>
    <x v="13"/>
    <x v="140"/>
    <x v="150"/>
    <x v="65"/>
    <x v="155"/>
    <x v="118"/>
    <x v="137"/>
    <x v="3"/>
  </r>
  <r>
    <x v="0"/>
    <x v="8"/>
    <x v="8"/>
    <x v="18"/>
    <x v="18"/>
    <x v="18"/>
    <x v="14"/>
    <x v="103"/>
    <x v="151"/>
    <x v="56"/>
    <x v="55"/>
    <x v="119"/>
    <x v="138"/>
    <x v="3"/>
  </r>
  <r>
    <x v="0"/>
    <x v="8"/>
    <x v="8"/>
    <x v="15"/>
    <x v="15"/>
    <x v="15"/>
    <x v="15"/>
    <x v="141"/>
    <x v="102"/>
    <x v="64"/>
    <x v="123"/>
    <x v="120"/>
    <x v="14"/>
    <x v="3"/>
  </r>
  <r>
    <x v="0"/>
    <x v="8"/>
    <x v="8"/>
    <x v="20"/>
    <x v="20"/>
    <x v="20"/>
    <x v="16"/>
    <x v="142"/>
    <x v="133"/>
    <x v="34"/>
    <x v="87"/>
    <x v="68"/>
    <x v="139"/>
    <x v="3"/>
  </r>
  <r>
    <x v="0"/>
    <x v="8"/>
    <x v="8"/>
    <x v="25"/>
    <x v="25"/>
    <x v="25"/>
    <x v="17"/>
    <x v="143"/>
    <x v="52"/>
    <x v="100"/>
    <x v="156"/>
    <x v="81"/>
    <x v="8"/>
    <x v="6"/>
  </r>
  <r>
    <x v="0"/>
    <x v="8"/>
    <x v="8"/>
    <x v="17"/>
    <x v="17"/>
    <x v="17"/>
    <x v="18"/>
    <x v="144"/>
    <x v="19"/>
    <x v="37"/>
    <x v="157"/>
    <x v="58"/>
    <x v="28"/>
    <x v="3"/>
  </r>
  <r>
    <x v="0"/>
    <x v="8"/>
    <x v="8"/>
    <x v="16"/>
    <x v="16"/>
    <x v="16"/>
    <x v="19"/>
    <x v="145"/>
    <x v="152"/>
    <x v="50"/>
    <x v="158"/>
    <x v="121"/>
    <x v="140"/>
    <x v="3"/>
  </r>
  <r>
    <x v="0"/>
    <x v="9"/>
    <x v="9"/>
    <x v="0"/>
    <x v="0"/>
    <x v="0"/>
    <x v="0"/>
    <x v="146"/>
    <x v="153"/>
    <x v="126"/>
    <x v="159"/>
    <x v="122"/>
    <x v="141"/>
    <x v="3"/>
  </r>
  <r>
    <x v="0"/>
    <x v="9"/>
    <x v="9"/>
    <x v="2"/>
    <x v="2"/>
    <x v="2"/>
    <x v="1"/>
    <x v="147"/>
    <x v="154"/>
    <x v="127"/>
    <x v="160"/>
    <x v="123"/>
    <x v="142"/>
    <x v="2"/>
  </r>
  <r>
    <x v="0"/>
    <x v="9"/>
    <x v="9"/>
    <x v="1"/>
    <x v="1"/>
    <x v="1"/>
    <x v="2"/>
    <x v="148"/>
    <x v="155"/>
    <x v="128"/>
    <x v="161"/>
    <x v="124"/>
    <x v="143"/>
    <x v="3"/>
  </r>
  <r>
    <x v="0"/>
    <x v="9"/>
    <x v="9"/>
    <x v="7"/>
    <x v="7"/>
    <x v="7"/>
    <x v="3"/>
    <x v="149"/>
    <x v="156"/>
    <x v="129"/>
    <x v="162"/>
    <x v="125"/>
    <x v="144"/>
    <x v="8"/>
  </r>
  <r>
    <x v="0"/>
    <x v="9"/>
    <x v="9"/>
    <x v="3"/>
    <x v="3"/>
    <x v="3"/>
    <x v="4"/>
    <x v="150"/>
    <x v="157"/>
    <x v="130"/>
    <x v="163"/>
    <x v="126"/>
    <x v="145"/>
    <x v="3"/>
  </r>
  <r>
    <x v="0"/>
    <x v="9"/>
    <x v="9"/>
    <x v="4"/>
    <x v="4"/>
    <x v="4"/>
    <x v="5"/>
    <x v="151"/>
    <x v="158"/>
    <x v="131"/>
    <x v="164"/>
    <x v="127"/>
    <x v="146"/>
    <x v="3"/>
  </r>
  <r>
    <x v="0"/>
    <x v="9"/>
    <x v="9"/>
    <x v="5"/>
    <x v="5"/>
    <x v="5"/>
    <x v="6"/>
    <x v="152"/>
    <x v="7"/>
    <x v="132"/>
    <x v="165"/>
    <x v="128"/>
    <x v="133"/>
    <x v="6"/>
  </r>
  <r>
    <x v="0"/>
    <x v="9"/>
    <x v="9"/>
    <x v="10"/>
    <x v="10"/>
    <x v="10"/>
    <x v="7"/>
    <x v="153"/>
    <x v="8"/>
    <x v="133"/>
    <x v="166"/>
    <x v="129"/>
    <x v="147"/>
    <x v="12"/>
  </r>
  <r>
    <x v="0"/>
    <x v="9"/>
    <x v="9"/>
    <x v="9"/>
    <x v="9"/>
    <x v="9"/>
    <x v="8"/>
    <x v="154"/>
    <x v="159"/>
    <x v="134"/>
    <x v="167"/>
    <x v="130"/>
    <x v="148"/>
    <x v="3"/>
  </r>
  <r>
    <x v="0"/>
    <x v="9"/>
    <x v="9"/>
    <x v="6"/>
    <x v="6"/>
    <x v="6"/>
    <x v="9"/>
    <x v="155"/>
    <x v="160"/>
    <x v="89"/>
    <x v="168"/>
    <x v="131"/>
    <x v="149"/>
    <x v="3"/>
  </r>
  <r>
    <x v="0"/>
    <x v="9"/>
    <x v="9"/>
    <x v="14"/>
    <x v="14"/>
    <x v="14"/>
    <x v="10"/>
    <x v="156"/>
    <x v="161"/>
    <x v="135"/>
    <x v="169"/>
    <x v="132"/>
    <x v="150"/>
    <x v="3"/>
  </r>
  <r>
    <x v="0"/>
    <x v="9"/>
    <x v="9"/>
    <x v="12"/>
    <x v="12"/>
    <x v="12"/>
    <x v="11"/>
    <x v="157"/>
    <x v="162"/>
    <x v="136"/>
    <x v="170"/>
    <x v="133"/>
    <x v="151"/>
    <x v="3"/>
  </r>
  <r>
    <x v="0"/>
    <x v="9"/>
    <x v="9"/>
    <x v="8"/>
    <x v="8"/>
    <x v="8"/>
    <x v="12"/>
    <x v="158"/>
    <x v="163"/>
    <x v="137"/>
    <x v="150"/>
    <x v="134"/>
    <x v="152"/>
    <x v="6"/>
  </r>
  <r>
    <x v="0"/>
    <x v="9"/>
    <x v="9"/>
    <x v="13"/>
    <x v="13"/>
    <x v="13"/>
    <x v="13"/>
    <x v="159"/>
    <x v="164"/>
    <x v="138"/>
    <x v="171"/>
    <x v="135"/>
    <x v="153"/>
    <x v="6"/>
  </r>
  <r>
    <x v="0"/>
    <x v="9"/>
    <x v="9"/>
    <x v="15"/>
    <x v="15"/>
    <x v="15"/>
    <x v="14"/>
    <x v="160"/>
    <x v="165"/>
    <x v="139"/>
    <x v="172"/>
    <x v="136"/>
    <x v="154"/>
    <x v="3"/>
  </r>
  <r>
    <x v="0"/>
    <x v="9"/>
    <x v="9"/>
    <x v="16"/>
    <x v="16"/>
    <x v="16"/>
    <x v="15"/>
    <x v="161"/>
    <x v="166"/>
    <x v="59"/>
    <x v="173"/>
    <x v="137"/>
    <x v="155"/>
    <x v="6"/>
  </r>
  <r>
    <x v="0"/>
    <x v="9"/>
    <x v="9"/>
    <x v="19"/>
    <x v="19"/>
    <x v="19"/>
    <x v="16"/>
    <x v="162"/>
    <x v="167"/>
    <x v="112"/>
    <x v="174"/>
    <x v="138"/>
    <x v="156"/>
    <x v="9"/>
  </r>
  <r>
    <x v="0"/>
    <x v="9"/>
    <x v="9"/>
    <x v="17"/>
    <x v="17"/>
    <x v="17"/>
    <x v="17"/>
    <x v="163"/>
    <x v="168"/>
    <x v="81"/>
    <x v="175"/>
    <x v="139"/>
    <x v="157"/>
    <x v="6"/>
  </r>
  <r>
    <x v="0"/>
    <x v="9"/>
    <x v="9"/>
    <x v="11"/>
    <x v="11"/>
    <x v="11"/>
    <x v="18"/>
    <x v="164"/>
    <x v="169"/>
    <x v="140"/>
    <x v="126"/>
    <x v="140"/>
    <x v="158"/>
    <x v="3"/>
  </r>
  <r>
    <x v="0"/>
    <x v="9"/>
    <x v="9"/>
    <x v="26"/>
    <x v="26"/>
    <x v="26"/>
    <x v="19"/>
    <x v="165"/>
    <x v="17"/>
    <x v="65"/>
    <x v="176"/>
    <x v="141"/>
    <x v="159"/>
    <x v="3"/>
  </r>
  <r>
    <x v="0"/>
    <x v="10"/>
    <x v="10"/>
    <x v="2"/>
    <x v="2"/>
    <x v="2"/>
    <x v="0"/>
    <x v="166"/>
    <x v="170"/>
    <x v="141"/>
    <x v="163"/>
    <x v="142"/>
    <x v="160"/>
    <x v="3"/>
  </r>
  <r>
    <x v="0"/>
    <x v="10"/>
    <x v="10"/>
    <x v="1"/>
    <x v="1"/>
    <x v="1"/>
    <x v="1"/>
    <x v="167"/>
    <x v="171"/>
    <x v="142"/>
    <x v="177"/>
    <x v="143"/>
    <x v="161"/>
    <x v="3"/>
  </r>
  <r>
    <x v="0"/>
    <x v="10"/>
    <x v="10"/>
    <x v="0"/>
    <x v="0"/>
    <x v="0"/>
    <x v="2"/>
    <x v="168"/>
    <x v="172"/>
    <x v="143"/>
    <x v="178"/>
    <x v="99"/>
    <x v="147"/>
    <x v="3"/>
  </r>
  <r>
    <x v="0"/>
    <x v="10"/>
    <x v="10"/>
    <x v="3"/>
    <x v="3"/>
    <x v="3"/>
    <x v="3"/>
    <x v="169"/>
    <x v="173"/>
    <x v="144"/>
    <x v="179"/>
    <x v="74"/>
    <x v="162"/>
    <x v="3"/>
  </r>
  <r>
    <x v="0"/>
    <x v="10"/>
    <x v="10"/>
    <x v="4"/>
    <x v="4"/>
    <x v="4"/>
    <x v="4"/>
    <x v="170"/>
    <x v="174"/>
    <x v="67"/>
    <x v="180"/>
    <x v="144"/>
    <x v="163"/>
    <x v="3"/>
  </r>
  <r>
    <x v="0"/>
    <x v="10"/>
    <x v="10"/>
    <x v="5"/>
    <x v="5"/>
    <x v="5"/>
    <x v="5"/>
    <x v="171"/>
    <x v="175"/>
    <x v="145"/>
    <x v="181"/>
    <x v="58"/>
    <x v="164"/>
    <x v="3"/>
  </r>
  <r>
    <x v="0"/>
    <x v="10"/>
    <x v="10"/>
    <x v="9"/>
    <x v="9"/>
    <x v="9"/>
    <x v="6"/>
    <x v="172"/>
    <x v="176"/>
    <x v="73"/>
    <x v="182"/>
    <x v="145"/>
    <x v="119"/>
    <x v="3"/>
  </r>
  <r>
    <x v="0"/>
    <x v="10"/>
    <x v="10"/>
    <x v="10"/>
    <x v="10"/>
    <x v="10"/>
    <x v="7"/>
    <x v="95"/>
    <x v="128"/>
    <x v="95"/>
    <x v="115"/>
    <x v="43"/>
    <x v="165"/>
    <x v="3"/>
  </r>
  <r>
    <x v="0"/>
    <x v="10"/>
    <x v="10"/>
    <x v="6"/>
    <x v="6"/>
    <x v="6"/>
    <x v="8"/>
    <x v="138"/>
    <x v="10"/>
    <x v="45"/>
    <x v="183"/>
    <x v="146"/>
    <x v="166"/>
    <x v="3"/>
  </r>
  <r>
    <x v="0"/>
    <x v="10"/>
    <x v="10"/>
    <x v="8"/>
    <x v="8"/>
    <x v="8"/>
    <x v="9"/>
    <x v="74"/>
    <x v="177"/>
    <x v="68"/>
    <x v="100"/>
    <x v="147"/>
    <x v="167"/>
    <x v="3"/>
  </r>
  <r>
    <x v="0"/>
    <x v="10"/>
    <x v="10"/>
    <x v="14"/>
    <x v="14"/>
    <x v="14"/>
    <x v="10"/>
    <x v="44"/>
    <x v="178"/>
    <x v="84"/>
    <x v="102"/>
    <x v="146"/>
    <x v="166"/>
    <x v="3"/>
  </r>
  <r>
    <x v="0"/>
    <x v="10"/>
    <x v="10"/>
    <x v="7"/>
    <x v="7"/>
    <x v="7"/>
    <x v="11"/>
    <x v="117"/>
    <x v="179"/>
    <x v="146"/>
    <x v="114"/>
    <x v="91"/>
    <x v="168"/>
    <x v="3"/>
  </r>
  <r>
    <x v="0"/>
    <x v="10"/>
    <x v="10"/>
    <x v="26"/>
    <x v="26"/>
    <x v="26"/>
    <x v="12"/>
    <x v="173"/>
    <x v="180"/>
    <x v="54"/>
    <x v="15"/>
    <x v="148"/>
    <x v="169"/>
    <x v="3"/>
  </r>
  <r>
    <x v="0"/>
    <x v="10"/>
    <x v="10"/>
    <x v="11"/>
    <x v="11"/>
    <x v="11"/>
    <x v="13"/>
    <x v="140"/>
    <x v="181"/>
    <x v="63"/>
    <x v="184"/>
    <x v="46"/>
    <x v="122"/>
    <x v="3"/>
  </r>
  <r>
    <x v="0"/>
    <x v="10"/>
    <x v="10"/>
    <x v="16"/>
    <x v="16"/>
    <x v="16"/>
    <x v="14"/>
    <x v="100"/>
    <x v="182"/>
    <x v="71"/>
    <x v="173"/>
    <x v="149"/>
    <x v="170"/>
    <x v="3"/>
  </r>
  <r>
    <x v="0"/>
    <x v="10"/>
    <x v="10"/>
    <x v="12"/>
    <x v="12"/>
    <x v="12"/>
    <x v="14"/>
    <x v="100"/>
    <x v="182"/>
    <x v="147"/>
    <x v="185"/>
    <x v="150"/>
    <x v="171"/>
    <x v="3"/>
  </r>
  <r>
    <x v="0"/>
    <x v="10"/>
    <x v="10"/>
    <x v="15"/>
    <x v="15"/>
    <x v="15"/>
    <x v="16"/>
    <x v="76"/>
    <x v="183"/>
    <x v="114"/>
    <x v="54"/>
    <x v="110"/>
    <x v="157"/>
    <x v="3"/>
  </r>
  <r>
    <x v="0"/>
    <x v="10"/>
    <x v="10"/>
    <x v="17"/>
    <x v="17"/>
    <x v="17"/>
    <x v="17"/>
    <x v="174"/>
    <x v="184"/>
    <x v="71"/>
    <x v="173"/>
    <x v="88"/>
    <x v="172"/>
    <x v="3"/>
  </r>
  <r>
    <x v="0"/>
    <x v="10"/>
    <x v="10"/>
    <x v="19"/>
    <x v="19"/>
    <x v="19"/>
    <x v="18"/>
    <x v="175"/>
    <x v="101"/>
    <x v="37"/>
    <x v="103"/>
    <x v="151"/>
    <x v="173"/>
    <x v="3"/>
  </r>
  <r>
    <x v="0"/>
    <x v="10"/>
    <x v="10"/>
    <x v="18"/>
    <x v="18"/>
    <x v="18"/>
    <x v="19"/>
    <x v="113"/>
    <x v="185"/>
    <x v="70"/>
    <x v="186"/>
    <x v="91"/>
    <x v="168"/>
    <x v="6"/>
  </r>
  <r>
    <x v="0"/>
    <x v="11"/>
    <x v="11"/>
    <x v="0"/>
    <x v="0"/>
    <x v="0"/>
    <x v="0"/>
    <x v="176"/>
    <x v="74"/>
    <x v="148"/>
    <x v="187"/>
    <x v="152"/>
    <x v="174"/>
    <x v="3"/>
  </r>
  <r>
    <x v="0"/>
    <x v="11"/>
    <x v="11"/>
    <x v="2"/>
    <x v="2"/>
    <x v="2"/>
    <x v="1"/>
    <x v="177"/>
    <x v="186"/>
    <x v="149"/>
    <x v="188"/>
    <x v="153"/>
    <x v="175"/>
    <x v="0"/>
  </r>
  <r>
    <x v="0"/>
    <x v="11"/>
    <x v="11"/>
    <x v="14"/>
    <x v="14"/>
    <x v="14"/>
    <x v="2"/>
    <x v="178"/>
    <x v="187"/>
    <x v="46"/>
    <x v="189"/>
    <x v="154"/>
    <x v="176"/>
    <x v="3"/>
  </r>
  <r>
    <x v="0"/>
    <x v="11"/>
    <x v="11"/>
    <x v="7"/>
    <x v="7"/>
    <x v="7"/>
    <x v="3"/>
    <x v="179"/>
    <x v="188"/>
    <x v="150"/>
    <x v="190"/>
    <x v="155"/>
    <x v="177"/>
    <x v="0"/>
  </r>
  <r>
    <x v="0"/>
    <x v="11"/>
    <x v="11"/>
    <x v="1"/>
    <x v="1"/>
    <x v="1"/>
    <x v="4"/>
    <x v="180"/>
    <x v="189"/>
    <x v="151"/>
    <x v="191"/>
    <x v="156"/>
    <x v="165"/>
    <x v="3"/>
  </r>
  <r>
    <x v="0"/>
    <x v="11"/>
    <x v="11"/>
    <x v="16"/>
    <x v="16"/>
    <x v="16"/>
    <x v="5"/>
    <x v="32"/>
    <x v="190"/>
    <x v="69"/>
    <x v="192"/>
    <x v="157"/>
    <x v="178"/>
    <x v="6"/>
  </r>
  <r>
    <x v="0"/>
    <x v="11"/>
    <x v="11"/>
    <x v="17"/>
    <x v="17"/>
    <x v="17"/>
    <x v="6"/>
    <x v="181"/>
    <x v="191"/>
    <x v="84"/>
    <x v="143"/>
    <x v="158"/>
    <x v="179"/>
    <x v="3"/>
  </r>
  <r>
    <x v="0"/>
    <x v="11"/>
    <x v="11"/>
    <x v="3"/>
    <x v="3"/>
    <x v="3"/>
    <x v="7"/>
    <x v="35"/>
    <x v="7"/>
    <x v="123"/>
    <x v="193"/>
    <x v="159"/>
    <x v="180"/>
    <x v="3"/>
  </r>
  <r>
    <x v="0"/>
    <x v="11"/>
    <x v="11"/>
    <x v="5"/>
    <x v="5"/>
    <x v="5"/>
    <x v="8"/>
    <x v="182"/>
    <x v="192"/>
    <x v="152"/>
    <x v="194"/>
    <x v="160"/>
    <x v="181"/>
    <x v="3"/>
  </r>
  <r>
    <x v="0"/>
    <x v="11"/>
    <x v="11"/>
    <x v="8"/>
    <x v="8"/>
    <x v="8"/>
    <x v="9"/>
    <x v="183"/>
    <x v="10"/>
    <x v="68"/>
    <x v="195"/>
    <x v="161"/>
    <x v="182"/>
    <x v="3"/>
  </r>
  <r>
    <x v="0"/>
    <x v="11"/>
    <x v="11"/>
    <x v="4"/>
    <x v="4"/>
    <x v="4"/>
    <x v="10"/>
    <x v="184"/>
    <x v="193"/>
    <x v="37"/>
    <x v="106"/>
    <x v="162"/>
    <x v="183"/>
    <x v="3"/>
  </r>
  <r>
    <x v="0"/>
    <x v="11"/>
    <x v="11"/>
    <x v="19"/>
    <x v="19"/>
    <x v="19"/>
    <x v="11"/>
    <x v="185"/>
    <x v="194"/>
    <x v="114"/>
    <x v="196"/>
    <x v="163"/>
    <x v="55"/>
    <x v="5"/>
  </r>
  <r>
    <x v="0"/>
    <x v="11"/>
    <x v="11"/>
    <x v="13"/>
    <x v="13"/>
    <x v="13"/>
    <x v="12"/>
    <x v="186"/>
    <x v="195"/>
    <x v="35"/>
    <x v="197"/>
    <x v="164"/>
    <x v="143"/>
    <x v="3"/>
  </r>
  <r>
    <x v="0"/>
    <x v="11"/>
    <x v="11"/>
    <x v="6"/>
    <x v="6"/>
    <x v="6"/>
    <x v="13"/>
    <x v="187"/>
    <x v="165"/>
    <x v="50"/>
    <x v="158"/>
    <x v="165"/>
    <x v="184"/>
    <x v="3"/>
  </r>
  <r>
    <x v="0"/>
    <x v="11"/>
    <x v="11"/>
    <x v="27"/>
    <x v="27"/>
    <x v="27"/>
    <x v="14"/>
    <x v="188"/>
    <x v="68"/>
    <x v="70"/>
    <x v="198"/>
    <x v="166"/>
    <x v="185"/>
    <x v="6"/>
  </r>
  <r>
    <x v="0"/>
    <x v="11"/>
    <x v="11"/>
    <x v="12"/>
    <x v="12"/>
    <x v="12"/>
    <x v="15"/>
    <x v="189"/>
    <x v="181"/>
    <x v="49"/>
    <x v="180"/>
    <x v="167"/>
    <x v="47"/>
    <x v="3"/>
  </r>
  <r>
    <x v="0"/>
    <x v="11"/>
    <x v="11"/>
    <x v="15"/>
    <x v="15"/>
    <x v="15"/>
    <x v="16"/>
    <x v="190"/>
    <x v="196"/>
    <x v="64"/>
    <x v="199"/>
    <x v="168"/>
    <x v="186"/>
    <x v="3"/>
  </r>
  <r>
    <x v="0"/>
    <x v="11"/>
    <x v="11"/>
    <x v="26"/>
    <x v="26"/>
    <x v="26"/>
    <x v="17"/>
    <x v="191"/>
    <x v="197"/>
    <x v="91"/>
    <x v="96"/>
    <x v="169"/>
    <x v="14"/>
    <x v="3"/>
  </r>
  <r>
    <x v="0"/>
    <x v="11"/>
    <x v="11"/>
    <x v="9"/>
    <x v="9"/>
    <x v="9"/>
    <x v="18"/>
    <x v="192"/>
    <x v="198"/>
    <x v="153"/>
    <x v="64"/>
    <x v="98"/>
    <x v="187"/>
    <x v="3"/>
  </r>
  <r>
    <x v="0"/>
    <x v="11"/>
    <x v="11"/>
    <x v="10"/>
    <x v="10"/>
    <x v="10"/>
    <x v="19"/>
    <x v="193"/>
    <x v="16"/>
    <x v="154"/>
    <x v="185"/>
    <x v="170"/>
    <x v="188"/>
    <x v="6"/>
  </r>
  <r>
    <x v="0"/>
    <x v="12"/>
    <x v="12"/>
    <x v="0"/>
    <x v="0"/>
    <x v="0"/>
    <x v="0"/>
    <x v="194"/>
    <x v="199"/>
    <x v="155"/>
    <x v="200"/>
    <x v="171"/>
    <x v="189"/>
    <x v="3"/>
  </r>
  <r>
    <x v="0"/>
    <x v="12"/>
    <x v="12"/>
    <x v="7"/>
    <x v="7"/>
    <x v="7"/>
    <x v="1"/>
    <x v="195"/>
    <x v="200"/>
    <x v="156"/>
    <x v="201"/>
    <x v="172"/>
    <x v="190"/>
    <x v="3"/>
  </r>
  <r>
    <x v="0"/>
    <x v="12"/>
    <x v="12"/>
    <x v="1"/>
    <x v="1"/>
    <x v="1"/>
    <x v="2"/>
    <x v="196"/>
    <x v="201"/>
    <x v="157"/>
    <x v="202"/>
    <x v="33"/>
    <x v="191"/>
    <x v="3"/>
  </r>
  <r>
    <x v="0"/>
    <x v="12"/>
    <x v="12"/>
    <x v="2"/>
    <x v="2"/>
    <x v="2"/>
    <x v="3"/>
    <x v="197"/>
    <x v="202"/>
    <x v="158"/>
    <x v="203"/>
    <x v="173"/>
    <x v="192"/>
    <x v="0"/>
  </r>
  <r>
    <x v="0"/>
    <x v="12"/>
    <x v="12"/>
    <x v="3"/>
    <x v="3"/>
    <x v="3"/>
    <x v="4"/>
    <x v="198"/>
    <x v="203"/>
    <x v="159"/>
    <x v="204"/>
    <x v="174"/>
    <x v="193"/>
    <x v="3"/>
  </r>
  <r>
    <x v="0"/>
    <x v="12"/>
    <x v="12"/>
    <x v="12"/>
    <x v="12"/>
    <x v="12"/>
    <x v="5"/>
    <x v="199"/>
    <x v="204"/>
    <x v="74"/>
    <x v="205"/>
    <x v="172"/>
    <x v="190"/>
    <x v="3"/>
  </r>
  <r>
    <x v="0"/>
    <x v="12"/>
    <x v="12"/>
    <x v="10"/>
    <x v="10"/>
    <x v="10"/>
    <x v="6"/>
    <x v="200"/>
    <x v="205"/>
    <x v="160"/>
    <x v="206"/>
    <x v="114"/>
    <x v="194"/>
    <x v="6"/>
  </r>
  <r>
    <x v="0"/>
    <x v="12"/>
    <x v="12"/>
    <x v="9"/>
    <x v="9"/>
    <x v="9"/>
    <x v="7"/>
    <x v="201"/>
    <x v="206"/>
    <x v="161"/>
    <x v="207"/>
    <x v="175"/>
    <x v="195"/>
    <x v="3"/>
  </r>
  <r>
    <x v="0"/>
    <x v="12"/>
    <x v="12"/>
    <x v="15"/>
    <x v="15"/>
    <x v="15"/>
    <x v="8"/>
    <x v="202"/>
    <x v="207"/>
    <x v="121"/>
    <x v="208"/>
    <x v="176"/>
    <x v="196"/>
    <x v="3"/>
  </r>
  <r>
    <x v="0"/>
    <x v="12"/>
    <x v="12"/>
    <x v="13"/>
    <x v="13"/>
    <x v="13"/>
    <x v="9"/>
    <x v="203"/>
    <x v="208"/>
    <x v="162"/>
    <x v="133"/>
    <x v="177"/>
    <x v="127"/>
    <x v="6"/>
  </r>
  <r>
    <x v="0"/>
    <x v="12"/>
    <x v="12"/>
    <x v="5"/>
    <x v="5"/>
    <x v="5"/>
    <x v="10"/>
    <x v="204"/>
    <x v="49"/>
    <x v="163"/>
    <x v="209"/>
    <x v="178"/>
    <x v="140"/>
    <x v="6"/>
  </r>
  <r>
    <x v="0"/>
    <x v="12"/>
    <x v="12"/>
    <x v="19"/>
    <x v="19"/>
    <x v="19"/>
    <x v="11"/>
    <x v="205"/>
    <x v="165"/>
    <x v="114"/>
    <x v="103"/>
    <x v="179"/>
    <x v="120"/>
    <x v="13"/>
  </r>
  <r>
    <x v="0"/>
    <x v="12"/>
    <x v="12"/>
    <x v="16"/>
    <x v="16"/>
    <x v="16"/>
    <x v="12"/>
    <x v="206"/>
    <x v="168"/>
    <x v="84"/>
    <x v="175"/>
    <x v="180"/>
    <x v="197"/>
    <x v="3"/>
  </r>
  <r>
    <x v="0"/>
    <x v="12"/>
    <x v="12"/>
    <x v="4"/>
    <x v="4"/>
    <x v="4"/>
    <x v="13"/>
    <x v="207"/>
    <x v="17"/>
    <x v="53"/>
    <x v="210"/>
    <x v="181"/>
    <x v="198"/>
    <x v="3"/>
  </r>
  <r>
    <x v="0"/>
    <x v="12"/>
    <x v="12"/>
    <x v="14"/>
    <x v="14"/>
    <x v="14"/>
    <x v="14"/>
    <x v="208"/>
    <x v="103"/>
    <x v="79"/>
    <x v="211"/>
    <x v="182"/>
    <x v="136"/>
    <x v="3"/>
  </r>
  <r>
    <x v="0"/>
    <x v="12"/>
    <x v="12"/>
    <x v="20"/>
    <x v="20"/>
    <x v="20"/>
    <x v="14"/>
    <x v="208"/>
    <x v="103"/>
    <x v="35"/>
    <x v="212"/>
    <x v="28"/>
    <x v="199"/>
    <x v="3"/>
  </r>
  <r>
    <x v="0"/>
    <x v="12"/>
    <x v="12"/>
    <x v="26"/>
    <x v="26"/>
    <x v="26"/>
    <x v="16"/>
    <x v="209"/>
    <x v="209"/>
    <x v="46"/>
    <x v="213"/>
    <x v="183"/>
    <x v="35"/>
    <x v="3"/>
  </r>
  <r>
    <x v="0"/>
    <x v="12"/>
    <x v="12"/>
    <x v="28"/>
    <x v="28"/>
    <x v="28"/>
    <x v="17"/>
    <x v="210"/>
    <x v="52"/>
    <x v="53"/>
    <x v="210"/>
    <x v="184"/>
    <x v="200"/>
    <x v="3"/>
  </r>
  <r>
    <x v="0"/>
    <x v="12"/>
    <x v="12"/>
    <x v="27"/>
    <x v="27"/>
    <x v="27"/>
    <x v="18"/>
    <x v="59"/>
    <x v="37"/>
    <x v="79"/>
    <x v="211"/>
    <x v="184"/>
    <x v="200"/>
    <x v="3"/>
  </r>
  <r>
    <x v="0"/>
    <x v="12"/>
    <x v="12"/>
    <x v="17"/>
    <x v="17"/>
    <x v="17"/>
    <x v="19"/>
    <x v="74"/>
    <x v="19"/>
    <x v="82"/>
    <x v="37"/>
    <x v="184"/>
    <x v="200"/>
    <x v="3"/>
  </r>
  <r>
    <x v="0"/>
    <x v="13"/>
    <x v="13"/>
    <x v="2"/>
    <x v="2"/>
    <x v="2"/>
    <x v="0"/>
    <x v="211"/>
    <x v="210"/>
    <x v="164"/>
    <x v="214"/>
    <x v="185"/>
    <x v="201"/>
    <x v="0"/>
  </r>
  <r>
    <x v="0"/>
    <x v="13"/>
    <x v="13"/>
    <x v="1"/>
    <x v="1"/>
    <x v="1"/>
    <x v="1"/>
    <x v="212"/>
    <x v="211"/>
    <x v="165"/>
    <x v="215"/>
    <x v="186"/>
    <x v="202"/>
    <x v="3"/>
  </r>
  <r>
    <x v="0"/>
    <x v="13"/>
    <x v="13"/>
    <x v="0"/>
    <x v="0"/>
    <x v="0"/>
    <x v="2"/>
    <x v="213"/>
    <x v="22"/>
    <x v="166"/>
    <x v="216"/>
    <x v="99"/>
    <x v="140"/>
    <x v="3"/>
  </r>
  <r>
    <x v="0"/>
    <x v="13"/>
    <x v="13"/>
    <x v="3"/>
    <x v="3"/>
    <x v="3"/>
    <x v="3"/>
    <x v="186"/>
    <x v="212"/>
    <x v="26"/>
    <x v="217"/>
    <x v="187"/>
    <x v="203"/>
    <x v="3"/>
  </r>
  <r>
    <x v="0"/>
    <x v="13"/>
    <x v="13"/>
    <x v="4"/>
    <x v="4"/>
    <x v="4"/>
    <x v="4"/>
    <x v="214"/>
    <x v="213"/>
    <x v="66"/>
    <x v="218"/>
    <x v="164"/>
    <x v="204"/>
    <x v="3"/>
  </r>
  <r>
    <x v="0"/>
    <x v="13"/>
    <x v="13"/>
    <x v="10"/>
    <x v="10"/>
    <x v="10"/>
    <x v="5"/>
    <x v="215"/>
    <x v="214"/>
    <x v="42"/>
    <x v="219"/>
    <x v="67"/>
    <x v="205"/>
    <x v="6"/>
  </r>
  <r>
    <x v="0"/>
    <x v="13"/>
    <x v="13"/>
    <x v="6"/>
    <x v="6"/>
    <x v="6"/>
    <x v="6"/>
    <x v="216"/>
    <x v="215"/>
    <x v="167"/>
    <x v="33"/>
    <x v="188"/>
    <x v="206"/>
    <x v="3"/>
  </r>
  <r>
    <x v="0"/>
    <x v="13"/>
    <x v="13"/>
    <x v="9"/>
    <x v="9"/>
    <x v="9"/>
    <x v="7"/>
    <x v="217"/>
    <x v="216"/>
    <x v="168"/>
    <x v="220"/>
    <x v="60"/>
    <x v="207"/>
    <x v="3"/>
  </r>
  <r>
    <x v="0"/>
    <x v="13"/>
    <x v="13"/>
    <x v="8"/>
    <x v="8"/>
    <x v="8"/>
    <x v="8"/>
    <x v="41"/>
    <x v="217"/>
    <x v="66"/>
    <x v="218"/>
    <x v="189"/>
    <x v="208"/>
    <x v="3"/>
  </r>
  <r>
    <x v="0"/>
    <x v="13"/>
    <x v="13"/>
    <x v="5"/>
    <x v="5"/>
    <x v="5"/>
    <x v="9"/>
    <x v="218"/>
    <x v="6"/>
    <x v="109"/>
    <x v="221"/>
    <x v="67"/>
    <x v="205"/>
    <x v="3"/>
  </r>
  <r>
    <x v="0"/>
    <x v="13"/>
    <x v="13"/>
    <x v="13"/>
    <x v="13"/>
    <x v="13"/>
    <x v="10"/>
    <x v="219"/>
    <x v="218"/>
    <x v="169"/>
    <x v="67"/>
    <x v="74"/>
    <x v="209"/>
    <x v="3"/>
  </r>
  <r>
    <x v="0"/>
    <x v="13"/>
    <x v="13"/>
    <x v="7"/>
    <x v="7"/>
    <x v="7"/>
    <x v="11"/>
    <x v="220"/>
    <x v="219"/>
    <x v="118"/>
    <x v="114"/>
    <x v="84"/>
    <x v="95"/>
    <x v="3"/>
  </r>
  <r>
    <x v="0"/>
    <x v="13"/>
    <x v="13"/>
    <x v="15"/>
    <x v="15"/>
    <x v="15"/>
    <x v="12"/>
    <x v="221"/>
    <x v="220"/>
    <x v="78"/>
    <x v="222"/>
    <x v="190"/>
    <x v="55"/>
    <x v="3"/>
  </r>
  <r>
    <x v="0"/>
    <x v="13"/>
    <x v="13"/>
    <x v="11"/>
    <x v="11"/>
    <x v="11"/>
    <x v="13"/>
    <x v="222"/>
    <x v="221"/>
    <x v="170"/>
    <x v="223"/>
    <x v="71"/>
    <x v="210"/>
    <x v="3"/>
  </r>
  <r>
    <x v="0"/>
    <x v="13"/>
    <x v="13"/>
    <x v="14"/>
    <x v="14"/>
    <x v="14"/>
    <x v="14"/>
    <x v="140"/>
    <x v="222"/>
    <x v="71"/>
    <x v="224"/>
    <x v="191"/>
    <x v="211"/>
    <x v="3"/>
  </r>
  <r>
    <x v="0"/>
    <x v="13"/>
    <x v="13"/>
    <x v="16"/>
    <x v="16"/>
    <x v="16"/>
    <x v="15"/>
    <x v="223"/>
    <x v="223"/>
    <x v="91"/>
    <x v="16"/>
    <x v="192"/>
    <x v="212"/>
    <x v="3"/>
  </r>
  <r>
    <x v="0"/>
    <x v="13"/>
    <x v="13"/>
    <x v="18"/>
    <x v="18"/>
    <x v="18"/>
    <x v="16"/>
    <x v="224"/>
    <x v="224"/>
    <x v="70"/>
    <x v="198"/>
    <x v="193"/>
    <x v="47"/>
    <x v="6"/>
  </r>
  <r>
    <x v="0"/>
    <x v="13"/>
    <x v="13"/>
    <x v="12"/>
    <x v="12"/>
    <x v="12"/>
    <x v="17"/>
    <x v="141"/>
    <x v="225"/>
    <x v="171"/>
    <x v="185"/>
    <x v="98"/>
    <x v="213"/>
    <x v="3"/>
  </r>
  <r>
    <x v="0"/>
    <x v="13"/>
    <x v="13"/>
    <x v="19"/>
    <x v="19"/>
    <x v="19"/>
    <x v="18"/>
    <x v="225"/>
    <x v="52"/>
    <x v="55"/>
    <x v="120"/>
    <x v="175"/>
    <x v="214"/>
    <x v="6"/>
  </r>
  <r>
    <x v="0"/>
    <x v="13"/>
    <x v="13"/>
    <x v="20"/>
    <x v="20"/>
    <x v="20"/>
    <x v="19"/>
    <x v="63"/>
    <x v="226"/>
    <x v="34"/>
    <x v="225"/>
    <x v="60"/>
    <x v="207"/>
    <x v="3"/>
  </r>
  <r>
    <x v="0"/>
    <x v="14"/>
    <x v="14"/>
    <x v="1"/>
    <x v="1"/>
    <x v="1"/>
    <x v="0"/>
    <x v="226"/>
    <x v="227"/>
    <x v="172"/>
    <x v="226"/>
    <x v="87"/>
    <x v="215"/>
    <x v="3"/>
  </r>
  <r>
    <x v="0"/>
    <x v="14"/>
    <x v="14"/>
    <x v="4"/>
    <x v="4"/>
    <x v="4"/>
    <x v="1"/>
    <x v="227"/>
    <x v="228"/>
    <x v="78"/>
    <x v="227"/>
    <x v="194"/>
    <x v="216"/>
    <x v="3"/>
  </r>
  <r>
    <x v="0"/>
    <x v="14"/>
    <x v="14"/>
    <x v="0"/>
    <x v="0"/>
    <x v="0"/>
    <x v="2"/>
    <x v="192"/>
    <x v="229"/>
    <x v="173"/>
    <x v="228"/>
    <x v="71"/>
    <x v="217"/>
    <x v="3"/>
  </r>
  <r>
    <x v="0"/>
    <x v="14"/>
    <x v="14"/>
    <x v="2"/>
    <x v="2"/>
    <x v="2"/>
    <x v="3"/>
    <x v="228"/>
    <x v="230"/>
    <x v="105"/>
    <x v="229"/>
    <x v="195"/>
    <x v="218"/>
    <x v="3"/>
  </r>
  <r>
    <x v="0"/>
    <x v="14"/>
    <x v="14"/>
    <x v="6"/>
    <x v="6"/>
    <x v="6"/>
    <x v="4"/>
    <x v="229"/>
    <x v="231"/>
    <x v="174"/>
    <x v="230"/>
    <x v="196"/>
    <x v="40"/>
    <x v="3"/>
  </r>
  <r>
    <x v="0"/>
    <x v="14"/>
    <x v="14"/>
    <x v="3"/>
    <x v="3"/>
    <x v="3"/>
    <x v="5"/>
    <x v="230"/>
    <x v="232"/>
    <x v="111"/>
    <x v="231"/>
    <x v="197"/>
    <x v="3"/>
    <x v="3"/>
  </r>
  <r>
    <x v="0"/>
    <x v="14"/>
    <x v="14"/>
    <x v="10"/>
    <x v="10"/>
    <x v="10"/>
    <x v="6"/>
    <x v="97"/>
    <x v="233"/>
    <x v="76"/>
    <x v="232"/>
    <x v="198"/>
    <x v="219"/>
    <x v="3"/>
  </r>
  <r>
    <x v="0"/>
    <x v="14"/>
    <x v="14"/>
    <x v="8"/>
    <x v="8"/>
    <x v="8"/>
    <x v="7"/>
    <x v="74"/>
    <x v="234"/>
    <x v="78"/>
    <x v="227"/>
    <x v="199"/>
    <x v="220"/>
    <x v="3"/>
  </r>
  <r>
    <x v="0"/>
    <x v="14"/>
    <x v="14"/>
    <x v="5"/>
    <x v="5"/>
    <x v="5"/>
    <x v="8"/>
    <x v="44"/>
    <x v="144"/>
    <x v="175"/>
    <x v="233"/>
    <x v="200"/>
    <x v="221"/>
    <x v="3"/>
  </r>
  <r>
    <x v="0"/>
    <x v="14"/>
    <x v="14"/>
    <x v="9"/>
    <x v="9"/>
    <x v="9"/>
    <x v="9"/>
    <x v="231"/>
    <x v="235"/>
    <x v="176"/>
    <x v="234"/>
    <x v="201"/>
    <x v="222"/>
    <x v="3"/>
  </r>
  <r>
    <x v="0"/>
    <x v="14"/>
    <x v="14"/>
    <x v="12"/>
    <x v="12"/>
    <x v="12"/>
    <x v="10"/>
    <x v="76"/>
    <x v="236"/>
    <x v="45"/>
    <x v="235"/>
    <x v="202"/>
    <x v="223"/>
    <x v="3"/>
  </r>
  <r>
    <x v="0"/>
    <x v="14"/>
    <x v="14"/>
    <x v="7"/>
    <x v="7"/>
    <x v="7"/>
    <x v="11"/>
    <x v="141"/>
    <x v="161"/>
    <x v="177"/>
    <x v="236"/>
    <x v="70"/>
    <x v="224"/>
    <x v="3"/>
  </r>
  <r>
    <x v="0"/>
    <x v="14"/>
    <x v="14"/>
    <x v="11"/>
    <x v="11"/>
    <x v="11"/>
    <x v="12"/>
    <x v="232"/>
    <x v="48"/>
    <x v="112"/>
    <x v="7"/>
    <x v="104"/>
    <x v="92"/>
    <x v="3"/>
  </r>
  <r>
    <x v="0"/>
    <x v="14"/>
    <x v="14"/>
    <x v="13"/>
    <x v="13"/>
    <x v="13"/>
    <x v="13"/>
    <x v="45"/>
    <x v="237"/>
    <x v="61"/>
    <x v="237"/>
    <x v="121"/>
    <x v="11"/>
    <x v="3"/>
  </r>
  <r>
    <x v="0"/>
    <x v="14"/>
    <x v="14"/>
    <x v="18"/>
    <x v="18"/>
    <x v="18"/>
    <x v="13"/>
    <x v="45"/>
    <x v="237"/>
    <x v="56"/>
    <x v="55"/>
    <x v="103"/>
    <x v="225"/>
    <x v="3"/>
  </r>
  <r>
    <x v="0"/>
    <x v="14"/>
    <x v="14"/>
    <x v="15"/>
    <x v="15"/>
    <x v="15"/>
    <x v="15"/>
    <x v="48"/>
    <x v="150"/>
    <x v="54"/>
    <x v="53"/>
    <x v="66"/>
    <x v="226"/>
    <x v="3"/>
  </r>
  <r>
    <x v="0"/>
    <x v="14"/>
    <x v="14"/>
    <x v="20"/>
    <x v="20"/>
    <x v="20"/>
    <x v="16"/>
    <x v="123"/>
    <x v="225"/>
    <x v="91"/>
    <x v="88"/>
    <x v="98"/>
    <x v="30"/>
    <x v="3"/>
  </r>
  <r>
    <x v="0"/>
    <x v="14"/>
    <x v="14"/>
    <x v="16"/>
    <x v="16"/>
    <x v="16"/>
    <x v="17"/>
    <x v="233"/>
    <x v="238"/>
    <x v="71"/>
    <x v="16"/>
    <x v="98"/>
    <x v="30"/>
    <x v="3"/>
  </r>
  <r>
    <x v="0"/>
    <x v="14"/>
    <x v="14"/>
    <x v="28"/>
    <x v="28"/>
    <x v="28"/>
    <x v="18"/>
    <x v="79"/>
    <x v="239"/>
    <x v="71"/>
    <x v="16"/>
    <x v="198"/>
    <x v="219"/>
    <x v="3"/>
  </r>
  <r>
    <x v="0"/>
    <x v="14"/>
    <x v="14"/>
    <x v="14"/>
    <x v="14"/>
    <x v="14"/>
    <x v="19"/>
    <x v="234"/>
    <x v="240"/>
    <x v="37"/>
    <x v="56"/>
    <x v="95"/>
    <x v="227"/>
    <x v="3"/>
  </r>
  <r>
    <x v="0"/>
    <x v="15"/>
    <x v="15"/>
    <x v="1"/>
    <x v="1"/>
    <x v="1"/>
    <x v="0"/>
    <x v="235"/>
    <x v="241"/>
    <x v="178"/>
    <x v="238"/>
    <x v="68"/>
    <x v="228"/>
    <x v="3"/>
  </r>
  <r>
    <x v="0"/>
    <x v="15"/>
    <x v="15"/>
    <x v="2"/>
    <x v="2"/>
    <x v="2"/>
    <x v="1"/>
    <x v="93"/>
    <x v="242"/>
    <x v="179"/>
    <x v="239"/>
    <x v="203"/>
    <x v="229"/>
    <x v="3"/>
  </r>
  <r>
    <x v="0"/>
    <x v="15"/>
    <x v="15"/>
    <x v="0"/>
    <x v="0"/>
    <x v="0"/>
    <x v="2"/>
    <x v="236"/>
    <x v="243"/>
    <x v="180"/>
    <x v="240"/>
    <x v="201"/>
    <x v="10"/>
    <x v="3"/>
  </r>
  <r>
    <x v="0"/>
    <x v="15"/>
    <x v="15"/>
    <x v="4"/>
    <x v="4"/>
    <x v="4"/>
    <x v="3"/>
    <x v="237"/>
    <x v="244"/>
    <x v="114"/>
    <x v="33"/>
    <x v="204"/>
    <x v="230"/>
    <x v="3"/>
  </r>
  <r>
    <x v="0"/>
    <x v="15"/>
    <x v="15"/>
    <x v="3"/>
    <x v="3"/>
    <x v="3"/>
    <x v="4"/>
    <x v="238"/>
    <x v="245"/>
    <x v="105"/>
    <x v="241"/>
    <x v="116"/>
    <x v="231"/>
    <x v="3"/>
  </r>
  <r>
    <x v="0"/>
    <x v="15"/>
    <x v="15"/>
    <x v="6"/>
    <x v="6"/>
    <x v="6"/>
    <x v="5"/>
    <x v="141"/>
    <x v="246"/>
    <x v="114"/>
    <x v="33"/>
    <x v="193"/>
    <x v="232"/>
    <x v="3"/>
  </r>
  <r>
    <x v="0"/>
    <x v="15"/>
    <x v="15"/>
    <x v="5"/>
    <x v="5"/>
    <x v="5"/>
    <x v="5"/>
    <x v="141"/>
    <x v="246"/>
    <x v="154"/>
    <x v="207"/>
    <x v="51"/>
    <x v="18"/>
    <x v="3"/>
  </r>
  <r>
    <x v="0"/>
    <x v="15"/>
    <x v="15"/>
    <x v="10"/>
    <x v="10"/>
    <x v="10"/>
    <x v="7"/>
    <x v="239"/>
    <x v="247"/>
    <x v="181"/>
    <x v="242"/>
    <x v="56"/>
    <x v="35"/>
    <x v="6"/>
  </r>
  <r>
    <x v="0"/>
    <x v="15"/>
    <x v="15"/>
    <x v="9"/>
    <x v="9"/>
    <x v="9"/>
    <x v="8"/>
    <x v="119"/>
    <x v="248"/>
    <x v="118"/>
    <x v="243"/>
    <x v="72"/>
    <x v="148"/>
    <x v="3"/>
  </r>
  <r>
    <x v="0"/>
    <x v="15"/>
    <x v="15"/>
    <x v="11"/>
    <x v="11"/>
    <x v="11"/>
    <x v="9"/>
    <x v="240"/>
    <x v="8"/>
    <x v="48"/>
    <x v="244"/>
    <x v="73"/>
    <x v="27"/>
    <x v="3"/>
  </r>
  <r>
    <x v="0"/>
    <x v="15"/>
    <x v="15"/>
    <x v="8"/>
    <x v="8"/>
    <x v="8"/>
    <x v="10"/>
    <x v="145"/>
    <x v="236"/>
    <x v="54"/>
    <x v="38"/>
    <x v="116"/>
    <x v="231"/>
    <x v="3"/>
  </r>
  <r>
    <x v="0"/>
    <x v="15"/>
    <x v="15"/>
    <x v="15"/>
    <x v="15"/>
    <x v="15"/>
    <x v="11"/>
    <x v="50"/>
    <x v="249"/>
    <x v="46"/>
    <x v="245"/>
    <x v="118"/>
    <x v="233"/>
    <x v="3"/>
  </r>
  <r>
    <x v="0"/>
    <x v="15"/>
    <x v="15"/>
    <x v="13"/>
    <x v="13"/>
    <x v="13"/>
    <x v="11"/>
    <x v="50"/>
    <x v="249"/>
    <x v="182"/>
    <x v="246"/>
    <x v="101"/>
    <x v="121"/>
    <x v="3"/>
  </r>
  <r>
    <x v="0"/>
    <x v="15"/>
    <x v="15"/>
    <x v="7"/>
    <x v="7"/>
    <x v="7"/>
    <x v="13"/>
    <x v="123"/>
    <x v="250"/>
    <x v="61"/>
    <x v="80"/>
    <x v="95"/>
    <x v="234"/>
    <x v="3"/>
  </r>
  <r>
    <x v="0"/>
    <x v="15"/>
    <x v="15"/>
    <x v="18"/>
    <x v="18"/>
    <x v="18"/>
    <x v="14"/>
    <x v="77"/>
    <x v="50"/>
    <x v="56"/>
    <x v="55"/>
    <x v="64"/>
    <x v="235"/>
    <x v="3"/>
  </r>
  <r>
    <x v="0"/>
    <x v="15"/>
    <x v="15"/>
    <x v="19"/>
    <x v="19"/>
    <x v="19"/>
    <x v="15"/>
    <x v="241"/>
    <x v="103"/>
    <x v="82"/>
    <x v="213"/>
    <x v="108"/>
    <x v="236"/>
    <x v="3"/>
  </r>
  <r>
    <x v="0"/>
    <x v="15"/>
    <x v="15"/>
    <x v="16"/>
    <x v="16"/>
    <x v="16"/>
    <x v="16"/>
    <x v="81"/>
    <x v="251"/>
    <x v="82"/>
    <x v="213"/>
    <x v="52"/>
    <x v="194"/>
    <x v="3"/>
  </r>
  <r>
    <x v="0"/>
    <x v="15"/>
    <x v="15"/>
    <x v="12"/>
    <x v="12"/>
    <x v="12"/>
    <x v="17"/>
    <x v="71"/>
    <x v="54"/>
    <x v="50"/>
    <x v="247"/>
    <x v="107"/>
    <x v="237"/>
    <x v="3"/>
  </r>
  <r>
    <x v="0"/>
    <x v="15"/>
    <x v="15"/>
    <x v="20"/>
    <x v="20"/>
    <x v="20"/>
    <x v="17"/>
    <x v="71"/>
    <x v="54"/>
    <x v="106"/>
    <x v="248"/>
    <x v="205"/>
    <x v="238"/>
    <x v="3"/>
  </r>
  <r>
    <x v="0"/>
    <x v="15"/>
    <x v="15"/>
    <x v="29"/>
    <x v="29"/>
    <x v="29"/>
    <x v="19"/>
    <x v="83"/>
    <x v="252"/>
    <x v="84"/>
    <x v="249"/>
    <x v="205"/>
    <x v="238"/>
    <x v="3"/>
  </r>
  <r>
    <x v="0"/>
    <x v="16"/>
    <x v="16"/>
    <x v="0"/>
    <x v="0"/>
    <x v="0"/>
    <x v="0"/>
    <x v="242"/>
    <x v="253"/>
    <x v="183"/>
    <x v="250"/>
    <x v="200"/>
    <x v="239"/>
    <x v="3"/>
  </r>
  <r>
    <x v="0"/>
    <x v="16"/>
    <x v="16"/>
    <x v="1"/>
    <x v="1"/>
    <x v="1"/>
    <x v="1"/>
    <x v="243"/>
    <x v="254"/>
    <x v="184"/>
    <x v="251"/>
    <x v="151"/>
    <x v="240"/>
    <x v="3"/>
  </r>
  <r>
    <x v="0"/>
    <x v="16"/>
    <x v="16"/>
    <x v="2"/>
    <x v="2"/>
    <x v="2"/>
    <x v="2"/>
    <x v="244"/>
    <x v="255"/>
    <x v="77"/>
    <x v="6"/>
    <x v="206"/>
    <x v="241"/>
    <x v="3"/>
  </r>
  <r>
    <x v="0"/>
    <x v="16"/>
    <x v="16"/>
    <x v="3"/>
    <x v="3"/>
    <x v="3"/>
    <x v="3"/>
    <x v="93"/>
    <x v="24"/>
    <x v="123"/>
    <x v="252"/>
    <x v="76"/>
    <x v="3"/>
    <x v="3"/>
  </r>
  <r>
    <x v="0"/>
    <x v="16"/>
    <x v="16"/>
    <x v="4"/>
    <x v="4"/>
    <x v="4"/>
    <x v="4"/>
    <x v="245"/>
    <x v="256"/>
    <x v="63"/>
    <x v="253"/>
    <x v="180"/>
    <x v="242"/>
    <x v="3"/>
  </r>
  <r>
    <x v="0"/>
    <x v="16"/>
    <x v="16"/>
    <x v="6"/>
    <x v="6"/>
    <x v="6"/>
    <x v="5"/>
    <x v="246"/>
    <x v="257"/>
    <x v="185"/>
    <x v="97"/>
    <x v="196"/>
    <x v="243"/>
    <x v="3"/>
  </r>
  <r>
    <x v="0"/>
    <x v="16"/>
    <x v="16"/>
    <x v="10"/>
    <x v="10"/>
    <x v="10"/>
    <x v="6"/>
    <x v="116"/>
    <x v="258"/>
    <x v="186"/>
    <x v="254"/>
    <x v="64"/>
    <x v="200"/>
    <x v="3"/>
  </r>
  <r>
    <x v="0"/>
    <x v="16"/>
    <x v="16"/>
    <x v="9"/>
    <x v="9"/>
    <x v="9"/>
    <x v="7"/>
    <x v="172"/>
    <x v="259"/>
    <x v="187"/>
    <x v="255"/>
    <x v="55"/>
    <x v="244"/>
    <x v="3"/>
  </r>
  <r>
    <x v="0"/>
    <x v="16"/>
    <x v="16"/>
    <x v="7"/>
    <x v="7"/>
    <x v="7"/>
    <x v="8"/>
    <x v="247"/>
    <x v="127"/>
    <x v="60"/>
    <x v="256"/>
    <x v="88"/>
    <x v="245"/>
    <x v="6"/>
  </r>
  <r>
    <x v="0"/>
    <x v="16"/>
    <x v="16"/>
    <x v="8"/>
    <x v="8"/>
    <x v="8"/>
    <x v="9"/>
    <x v="248"/>
    <x v="260"/>
    <x v="49"/>
    <x v="257"/>
    <x v="199"/>
    <x v="246"/>
    <x v="6"/>
  </r>
  <r>
    <x v="0"/>
    <x v="16"/>
    <x v="16"/>
    <x v="5"/>
    <x v="5"/>
    <x v="5"/>
    <x v="10"/>
    <x v="249"/>
    <x v="261"/>
    <x v="75"/>
    <x v="258"/>
    <x v="207"/>
    <x v="247"/>
    <x v="3"/>
  </r>
  <r>
    <x v="0"/>
    <x v="16"/>
    <x v="16"/>
    <x v="11"/>
    <x v="11"/>
    <x v="11"/>
    <x v="11"/>
    <x v="250"/>
    <x v="262"/>
    <x v="188"/>
    <x v="259"/>
    <x v="118"/>
    <x v="17"/>
    <x v="3"/>
  </r>
  <r>
    <x v="0"/>
    <x v="16"/>
    <x v="16"/>
    <x v="15"/>
    <x v="15"/>
    <x v="15"/>
    <x v="12"/>
    <x v="251"/>
    <x v="83"/>
    <x v="67"/>
    <x v="197"/>
    <x v="204"/>
    <x v="5"/>
    <x v="3"/>
  </r>
  <r>
    <x v="0"/>
    <x v="16"/>
    <x v="16"/>
    <x v="13"/>
    <x v="13"/>
    <x v="13"/>
    <x v="13"/>
    <x v="252"/>
    <x v="263"/>
    <x v="81"/>
    <x v="260"/>
    <x v="43"/>
    <x v="66"/>
    <x v="3"/>
  </r>
  <r>
    <x v="0"/>
    <x v="16"/>
    <x v="16"/>
    <x v="18"/>
    <x v="18"/>
    <x v="18"/>
    <x v="14"/>
    <x v="225"/>
    <x v="264"/>
    <x v="82"/>
    <x v="210"/>
    <x v="99"/>
    <x v="11"/>
    <x v="3"/>
  </r>
  <r>
    <x v="0"/>
    <x v="16"/>
    <x v="16"/>
    <x v="12"/>
    <x v="12"/>
    <x v="12"/>
    <x v="15"/>
    <x v="45"/>
    <x v="33"/>
    <x v="147"/>
    <x v="261"/>
    <x v="41"/>
    <x v="248"/>
    <x v="3"/>
  </r>
  <r>
    <x v="0"/>
    <x v="16"/>
    <x v="16"/>
    <x v="19"/>
    <x v="19"/>
    <x v="19"/>
    <x v="16"/>
    <x v="253"/>
    <x v="239"/>
    <x v="79"/>
    <x v="262"/>
    <x v="99"/>
    <x v="11"/>
    <x v="3"/>
  </r>
  <r>
    <x v="0"/>
    <x v="16"/>
    <x v="16"/>
    <x v="20"/>
    <x v="20"/>
    <x v="20"/>
    <x v="17"/>
    <x v="65"/>
    <x v="37"/>
    <x v="45"/>
    <x v="263"/>
    <x v="108"/>
    <x v="135"/>
    <x v="3"/>
  </r>
  <r>
    <x v="0"/>
    <x v="16"/>
    <x v="16"/>
    <x v="28"/>
    <x v="28"/>
    <x v="28"/>
    <x v="18"/>
    <x v="254"/>
    <x v="38"/>
    <x v="72"/>
    <x v="99"/>
    <x v="121"/>
    <x v="73"/>
    <x v="3"/>
  </r>
  <r>
    <x v="0"/>
    <x v="16"/>
    <x v="16"/>
    <x v="16"/>
    <x v="16"/>
    <x v="16"/>
    <x v="19"/>
    <x v="114"/>
    <x v="265"/>
    <x v="46"/>
    <x v="173"/>
    <x v="64"/>
    <x v="200"/>
    <x v="3"/>
  </r>
  <r>
    <x v="0"/>
    <x v="17"/>
    <x v="17"/>
    <x v="0"/>
    <x v="0"/>
    <x v="0"/>
    <x v="0"/>
    <x v="255"/>
    <x v="266"/>
    <x v="189"/>
    <x v="264"/>
    <x v="55"/>
    <x v="239"/>
    <x v="3"/>
  </r>
  <r>
    <x v="0"/>
    <x v="17"/>
    <x v="17"/>
    <x v="1"/>
    <x v="1"/>
    <x v="1"/>
    <x v="1"/>
    <x v="256"/>
    <x v="267"/>
    <x v="190"/>
    <x v="265"/>
    <x v="73"/>
    <x v="217"/>
    <x v="3"/>
  </r>
  <r>
    <x v="0"/>
    <x v="17"/>
    <x v="17"/>
    <x v="3"/>
    <x v="3"/>
    <x v="3"/>
    <x v="2"/>
    <x v="205"/>
    <x v="268"/>
    <x v="33"/>
    <x v="25"/>
    <x v="191"/>
    <x v="249"/>
    <x v="6"/>
  </r>
  <r>
    <x v="0"/>
    <x v="17"/>
    <x v="17"/>
    <x v="5"/>
    <x v="5"/>
    <x v="5"/>
    <x v="3"/>
    <x v="219"/>
    <x v="269"/>
    <x v="191"/>
    <x v="266"/>
    <x v="59"/>
    <x v="250"/>
    <x v="3"/>
  </r>
  <r>
    <x v="0"/>
    <x v="17"/>
    <x v="17"/>
    <x v="4"/>
    <x v="4"/>
    <x v="4"/>
    <x v="4"/>
    <x v="257"/>
    <x v="61"/>
    <x v="36"/>
    <x v="152"/>
    <x v="96"/>
    <x v="251"/>
    <x v="3"/>
  </r>
  <r>
    <x v="0"/>
    <x v="17"/>
    <x v="17"/>
    <x v="2"/>
    <x v="2"/>
    <x v="2"/>
    <x v="5"/>
    <x v="138"/>
    <x v="270"/>
    <x v="192"/>
    <x v="267"/>
    <x v="208"/>
    <x v="131"/>
    <x v="3"/>
  </r>
  <r>
    <x v="0"/>
    <x v="17"/>
    <x v="17"/>
    <x v="9"/>
    <x v="9"/>
    <x v="9"/>
    <x v="6"/>
    <x v="258"/>
    <x v="271"/>
    <x v="110"/>
    <x v="146"/>
    <x v="209"/>
    <x v="252"/>
    <x v="3"/>
  </r>
  <r>
    <x v="0"/>
    <x v="17"/>
    <x v="17"/>
    <x v="11"/>
    <x v="11"/>
    <x v="11"/>
    <x v="7"/>
    <x v="259"/>
    <x v="272"/>
    <x v="120"/>
    <x v="268"/>
    <x v="117"/>
    <x v="253"/>
    <x v="3"/>
  </r>
  <r>
    <x v="0"/>
    <x v="17"/>
    <x v="17"/>
    <x v="6"/>
    <x v="6"/>
    <x v="6"/>
    <x v="8"/>
    <x v="260"/>
    <x v="205"/>
    <x v="39"/>
    <x v="269"/>
    <x v="64"/>
    <x v="254"/>
    <x v="3"/>
  </r>
  <r>
    <x v="0"/>
    <x v="17"/>
    <x v="17"/>
    <x v="10"/>
    <x v="10"/>
    <x v="10"/>
    <x v="9"/>
    <x v="223"/>
    <x v="273"/>
    <x v="120"/>
    <x v="268"/>
    <x v="54"/>
    <x v="45"/>
    <x v="3"/>
  </r>
  <r>
    <x v="0"/>
    <x v="17"/>
    <x v="17"/>
    <x v="12"/>
    <x v="12"/>
    <x v="12"/>
    <x v="10"/>
    <x v="102"/>
    <x v="274"/>
    <x v="63"/>
    <x v="51"/>
    <x v="121"/>
    <x v="255"/>
    <x v="3"/>
  </r>
  <r>
    <x v="0"/>
    <x v="17"/>
    <x v="17"/>
    <x v="8"/>
    <x v="8"/>
    <x v="8"/>
    <x v="11"/>
    <x v="113"/>
    <x v="194"/>
    <x v="80"/>
    <x v="270"/>
    <x v="99"/>
    <x v="256"/>
    <x v="3"/>
  </r>
  <r>
    <x v="0"/>
    <x v="17"/>
    <x v="17"/>
    <x v="18"/>
    <x v="18"/>
    <x v="18"/>
    <x v="12"/>
    <x v="261"/>
    <x v="32"/>
    <x v="56"/>
    <x v="55"/>
    <x v="70"/>
    <x v="257"/>
    <x v="3"/>
  </r>
  <r>
    <x v="0"/>
    <x v="17"/>
    <x v="17"/>
    <x v="7"/>
    <x v="7"/>
    <x v="7"/>
    <x v="13"/>
    <x v="123"/>
    <x v="224"/>
    <x v="98"/>
    <x v="227"/>
    <x v="109"/>
    <x v="258"/>
    <x v="3"/>
  </r>
  <r>
    <x v="0"/>
    <x v="17"/>
    <x v="17"/>
    <x v="13"/>
    <x v="13"/>
    <x v="13"/>
    <x v="14"/>
    <x v="262"/>
    <x v="275"/>
    <x v="51"/>
    <x v="127"/>
    <x v="49"/>
    <x v="9"/>
    <x v="3"/>
  </r>
  <r>
    <x v="0"/>
    <x v="17"/>
    <x v="17"/>
    <x v="25"/>
    <x v="25"/>
    <x v="25"/>
    <x v="14"/>
    <x v="262"/>
    <x v="275"/>
    <x v="193"/>
    <x v="253"/>
    <x v="210"/>
    <x v="259"/>
    <x v="3"/>
  </r>
  <r>
    <x v="0"/>
    <x v="17"/>
    <x v="17"/>
    <x v="20"/>
    <x v="20"/>
    <x v="20"/>
    <x v="16"/>
    <x v="67"/>
    <x v="239"/>
    <x v="52"/>
    <x v="271"/>
    <x v="55"/>
    <x v="239"/>
    <x v="3"/>
  </r>
  <r>
    <x v="0"/>
    <x v="17"/>
    <x v="17"/>
    <x v="15"/>
    <x v="15"/>
    <x v="15"/>
    <x v="17"/>
    <x v="263"/>
    <x v="19"/>
    <x v="83"/>
    <x v="272"/>
    <x v="56"/>
    <x v="260"/>
    <x v="3"/>
  </r>
  <r>
    <x v="0"/>
    <x v="17"/>
    <x v="17"/>
    <x v="17"/>
    <x v="17"/>
    <x v="17"/>
    <x v="18"/>
    <x v="234"/>
    <x v="72"/>
    <x v="84"/>
    <x v="56"/>
    <x v="104"/>
    <x v="33"/>
    <x v="3"/>
  </r>
  <r>
    <x v="0"/>
    <x v="17"/>
    <x v="17"/>
    <x v="21"/>
    <x v="21"/>
    <x v="21"/>
    <x v="19"/>
    <x v="264"/>
    <x v="226"/>
    <x v="69"/>
    <x v="245"/>
    <x v="55"/>
    <x v="239"/>
    <x v="3"/>
  </r>
  <r>
    <x v="0"/>
    <x v="18"/>
    <x v="18"/>
    <x v="0"/>
    <x v="0"/>
    <x v="0"/>
    <x v="0"/>
    <x v="265"/>
    <x v="276"/>
    <x v="194"/>
    <x v="273"/>
    <x v="149"/>
    <x v="261"/>
    <x v="3"/>
  </r>
  <r>
    <x v="0"/>
    <x v="18"/>
    <x v="18"/>
    <x v="1"/>
    <x v="1"/>
    <x v="1"/>
    <x v="1"/>
    <x v="266"/>
    <x v="277"/>
    <x v="195"/>
    <x v="274"/>
    <x v="211"/>
    <x v="225"/>
    <x v="6"/>
  </r>
  <r>
    <x v="0"/>
    <x v="18"/>
    <x v="18"/>
    <x v="3"/>
    <x v="3"/>
    <x v="3"/>
    <x v="2"/>
    <x v="267"/>
    <x v="230"/>
    <x v="196"/>
    <x v="275"/>
    <x v="212"/>
    <x v="262"/>
    <x v="3"/>
  </r>
  <r>
    <x v="0"/>
    <x v="18"/>
    <x v="18"/>
    <x v="2"/>
    <x v="2"/>
    <x v="2"/>
    <x v="3"/>
    <x v="268"/>
    <x v="278"/>
    <x v="197"/>
    <x v="276"/>
    <x v="213"/>
    <x v="263"/>
    <x v="6"/>
  </r>
  <r>
    <x v="0"/>
    <x v="18"/>
    <x v="18"/>
    <x v="4"/>
    <x v="4"/>
    <x v="4"/>
    <x v="4"/>
    <x v="269"/>
    <x v="279"/>
    <x v="198"/>
    <x v="277"/>
    <x v="214"/>
    <x v="264"/>
    <x v="3"/>
  </r>
  <r>
    <x v="0"/>
    <x v="18"/>
    <x v="18"/>
    <x v="5"/>
    <x v="5"/>
    <x v="5"/>
    <x v="5"/>
    <x v="270"/>
    <x v="280"/>
    <x v="199"/>
    <x v="278"/>
    <x v="110"/>
    <x v="123"/>
    <x v="3"/>
  </r>
  <r>
    <x v="0"/>
    <x v="18"/>
    <x v="18"/>
    <x v="6"/>
    <x v="6"/>
    <x v="6"/>
    <x v="6"/>
    <x v="271"/>
    <x v="261"/>
    <x v="191"/>
    <x v="205"/>
    <x v="215"/>
    <x v="191"/>
    <x v="3"/>
  </r>
  <r>
    <x v="0"/>
    <x v="18"/>
    <x v="18"/>
    <x v="9"/>
    <x v="9"/>
    <x v="9"/>
    <x v="7"/>
    <x v="272"/>
    <x v="128"/>
    <x v="200"/>
    <x v="279"/>
    <x v="69"/>
    <x v="265"/>
    <x v="3"/>
  </r>
  <r>
    <x v="0"/>
    <x v="18"/>
    <x v="18"/>
    <x v="7"/>
    <x v="7"/>
    <x v="7"/>
    <x v="8"/>
    <x v="273"/>
    <x v="81"/>
    <x v="160"/>
    <x v="280"/>
    <x v="216"/>
    <x v="266"/>
    <x v="0"/>
  </r>
  <r>
    <x v="0"/>
    <x v="18"/>
    <x v="18"/>
    <x v="11"/>
    <x v="11"/>
    <x v="11"/>
    <x v="9"/>
    <x v="191"/>
    <x v="262"/>
    <x v="131"/>
    <x v="281"/>
    <x v="217"/>
    <x v="164"/>
    <x v="3"/>
  </r>
  <r>
    <x v="0"/>
    <x v="18"/>
    <x v="18"/>
    <x v="10"/>
    <x v="10"/>
    <x v="10"/>
    <x v="10"/>
    <x v="216"/>
    <x v="146"/>
    <x v="152"/>
    <x v="282"/>
    <x v="62"/>
    <x v="267"/>
    <x v="0"/>
  </r>
  <r>
    <x v="0"/>
    <x v="18"/>
    <x v="18"/>
    <x v="8"/>
    <x v="8"/>
    <x v="8"/>
    <x v="11"/>
    <x v="135"/>
    <x v="281"/>
    <x v="111"/>
    <x v="171"/>
    <x v="218"/>
    <x v="268"/>
    <x v="3"/>
  </r>
  <r>
    <x v="0"/>
    <x v="18"/>
    <x v="18"/>
    <x v="12"/>
    <x v="12"/>
    <x v="12"/>
    <x v="12"/>
    <x v="274"/>
    <x v="282"/>
    <x v="141"/>
    <x v="283"/>
    <x v="89"/>
    <x v="15"/>
    <x v="3"/>
  </r>
  <r>
    <x v="0"/>
    <x v="18"/>
    <x v="18"/>
    <x v="16"/>
    <x v="16"/>
    <x v="16"/>
    <x v="13"/>
    <x v="98"/>
    <x v="150"/>
    <x v="98"/>
    <x v="284"/>
    <x v="219"/>
    <x v="269"/>
    <x v="6"/>
  </r>
  <r>
    <x v="0"/>
    <x v="18"/>
    <x v="18"/>
    <x v="25"/>
    <x v="25"/>
    <x v="25"/>
    <x v="14"/>
    <x v="210"/>
    <x v="283"/>
    <x v="201"/>
    <x v="285"/>
    <x v="81"/>
    <x v="270"/>
    <x v="3"/>
  </r>
  <r>
    <x v="0"/>
    <x v="18"/>
    <x v="18"/>
    <x v="14"/>
    <x v="14"/>
    <x v="14"/>
    <x v="15"/>
    <x v="221"/>
    <x v="284"/>
    <x v="182"/>
    <x v="36"/>
    <x v="148"/>
    <x v="271"/>
    <x v="3"/>
  </r>
  <r>
    <x v="0"/>
    <x v="18"/>
    <x v="18"/>
    <x v="13"/>
    <x v="13"/>
    <x v="13"/>
    <x v="16"/>
    <x v="275"/>
    <x v="264"/>
    <x v="202"/>
    <x v="286"/>
    <x v="220"/>
    <x v="272"/>
    <x v="6"/>
  </r>
  <r>
    <x v="0"/>
    <x v="18"/>
    <x v="18"/>
    <x v="18"/>
    <x v="18"/>
    <x v="18"/>
    <x v="17"/>
    <x v="276"/>
    <x v="117"/>
    <x v="82"/>
    <x v="37"/>
    <x v="28"/>
    <x v="273"/>
    <x v="0"/>
  </r>
  <r>
    <x v="0"/>
    <x v="18"/>
    <x v="18"/>
    <x v="15"/>
    <x v="15"/>
    <x v="15"/>
    <x v="18"/>
    <x v="173"/>
    <x v="33"/>
    <x v="18"/>
    <x v="287"/>
    <x v="221"/>
    <x v="47"/>
    <x v="3"/>
  </r>
  <r>
    <x v="0"/>
    <x v="18"/>
    <x v="18"/>
    <x v="17"/>
    <x v="17"/>
    <x v="17"/>
    <x v="19"/>
    <x v="277"/>
    <x v="53"/>
    <x v="52"/>
    <x v="16"/>
    <x v="216"/>
    <x v="266"/>
    <x v="3"/>
  </r>
  <r>
    <x v="0"/>
    <x v="19"/>
    <x v="19"/>
    <x v="1"/>
    <x v="1"/>
    <x v="1"/>
    <x v="0"/>
    <x v="278"/>
    <x v="285"/>
    <x v="158"/>
    <x v="288"/>
    <x v="54"/>
    <x v="32"/>
    <x v="3"/>
  </r>
  <r>
    <x v="0"/>
    <x v="19"/>
    <x v="19"/>
    <x v="0"/>
    <x v="0"/>
    <x v="0"/>
    <x v="1"/>
    <x v="279"/>
    <x v="286"/>
    <x v="203"/>
    <x v="289"/>
    <x v="57"/>
    <x v="274"/>
    <x v="3"/>
  </r>
  <r>
    <x v="0"/>
    <x v="19"/>
    <x v="19"/>
    <x v="3"/>
    <x v="3"/>
    <x v="3"/>
    <x v="2"/>
    <x v="250"/>
    <x v="287"/>
    <x v="39"/>
    <x v="290"/>
    <x v="58"/>
    <x v="275"/>
    <x v="3"/>
  </r>
  <r>
    <x v="0"/>
    <x v="19"/>
    <x v="19"/>
    <x v="4"/>
    <x v="4"/>
    <x v="4"/>
    <x v="3"/>
    <x v="174"/>
    <x v="288"/>
    <x v="182"/>
    <x v="291"/>
    <x v="217"/>
    <x v="276"/>
    <x v="3"/>
  </r>
  <r>
    <x v="0"/>
    <x v="19"/>
    <x v="19"/>
    <x v="5"/>
    <x v="5"/>
    <x v="5"/>
    <x v="4"/>
    <x v="112"/>
    <x v="289"/>
    <x v="202"/>
    <x v="292"/>
    <x v="40"/>
    <x v="22"/>
    <x v="3"/>
  </r>
  <r>
    <x v="0"/>
    <x v="19"/>
    <x v="19"/>
    <x v="2"/>
    <x v="2"/>
    <x v="2"/>
    <x v="5"/>
    <x v="253"/>
    <x v="143"/>
    <x v="84"/>
    <x v="271"/>
    <x v="97"/>
    <x v="277"/>
    <x v="3"/>
  </r>
  <r>
    <x v="0"/>
    <x v="19"/>
    <x v="19"/>
    <x v="9"/>
    <x v="9"/>
    <x v="9"/>
    <x v="6"/>
    <x v="262"/>
    <x v="290"/>
    <x v="193"/>
    <x v="293"/>
    <x v="65"/>
    <x v="278"/>
    <x v="6"/>
  </r>
  <r>
    <x v="0"/>
    <x v="19"/>
    <x v="19"/>
    <x v="12"/>
    <x v="12"/>
    <x v="12"/>
    <x v="7"/>
    <x v="66"/>
    <x v="7"/>
    <x v="83"/>
    <x v="294"/>
    <x v="41"/>
    <x v="279"/>
    <x v="3"/>
  </r>
  <r>
    <x v="0"/>
    <x v="19"/>
    <x v="19"/>
    <x v="11"/>
    <x v="11"/>
    <x v="11"/>
    <x v="8"/>
    <x v="79"/>
    <x v="291"/>
    <x v="51"/>
    <x v="10"/>
    <x v="109"/>
    <x v="280"/>
    <x v="3"/>
  </r>
  <r>
    <x v="0"/>
    <x v="19"/>
    <x v="19"/>
    <x v="6"/>
    <x v="6"/>
    <x v="6"/>
    <x v="9"/>
    <x v="280"/>
    <x v="292"/>
    <x v="69"/>
    <x v="295"/>
    <x v="51"/>
    <x v="281"/>
    <x v="3"/>
  </r>
  <r>
    <x v="0"/>
    <x v="19"/>
    <x v="19"/>
    <x v="8"/>
    <x v="8"/>
    <x v="8"/>
    <x v="10"/>
    <x v="263"/>
    <x v="281"/>
    <x v="91"/>
    <x v="286"/>
    <x v="52"/>
    <x v="282"/>
    <x v="3"/>
  </r>
  <r>
    <x v="0"/>
    <x v="19"/>
    <x v="19"/>
    <x v="30"/>
    <x v="30"/>
    <x v="30"/>
    <x v="11"/>
    <x v="264"/>
    <x v="293"/>
    <x v="84"/>
    <x v="271"/>
    <x v="52"/>
    <x v="282"/>
    <x v="3"/>
  </r>
  <r>
    <x v="0"/>
    <x v="19"/>
    <x v="19"/>
    <x v="7"/>
    <x v="7"/>
    <x v="7"/>
    <x v="12"/>
    <x v="281"/>
    <x v="294"/>
    <x v="182"/>
    <x v="291"/>
    <x v="48"/>
    <x v="29"/>
    <x v="3"/>
  </r>
  <r>
    <x v="0"/>
    <x v="19"/>
    <x v="19"/>
    <x v="23"/>
    <x v="23"/>
    <x v="23"/>
    <x v="13"/>
    <x v="241"/>
    <x v="263"/>
    <x v="106"/>
    <x v="180"/>
    <x v="201"/>
    <x v="283"/>
    <x v="3"/>
  </r>
  <r>
    <x v="0"/>
    <x v="19"/>
    <x v="19"/>
    <x v="10"/>
    <x v="10"/>
    <x v="10"/>
    <x v="14"/>
    <x v="82"/>
    <x v="115"/>
    <x v="69"/>
    <x v="295"/>
    <x v="57"/>
    <x v="274"/>
    <x v="3"/>
  </r>
  <r>
    <x v="0"/>
    <x v="19"/>
    <x v="19"/>
    <x v="17"/>
    <x v="17"/>
    <x v="17"/>
    <x v="15"/>
    <x v="55"/>
    <x v="284"/>
    <x v="53"/>
    <x v="71"/>
    <x v="55"/>
    <x v="1"/>
    <x v="3"/>
  </r>
  <r>
    <x v="0"/>
    <x v="19"/>
    <x v="19"/>
    <x v="18"/>
    <x v="18"/>
    <x v="18"/>
    <x v="16"/>
    <x v="83"/>
    <x v="86"/>
    <x v="70"/>
    <x v="107"/>
    <x v="40"/>
    <x v="22"/>
    <x v="3"/>
  </r>
  <r>
    <x v="0"/>
    <x v="19"/>
    <x v="19"/>
    <x v="31"/>
    <x v="31"/>
    <x v="31"/>
    <x v="17"/>
    <x v="282"/>
    <x v="295"/>
    <x v="91"/>
    <x v="286"/>
    <x v="209"/>
    <x v="222"/>
    <x v="3"/>
  </r>
  <r>
    <x v="0"/>
    <x v="19"/>
    <x v="19"/>
    <x v="13"/>
    <x v="13"/>
    <x v="13"/>
    <x v="17"/>
    <x v="282"/>
    <x v="295"/>
    <x v="106"/>
    <x v="180"/>
    <x v="107"/>
    <x v="284"/>
    <x v="3"/>
  </r>
  <r>
    <x v="0"/>
    <x v="19"/>
    <x v="19"/>
    <x v="25"/>
    <x v="25"/>
    <x v="25"/>
    <x v="19"/>
    <x v="85"/>
    <x v="296"/>
    <x v="62"/>
    <x v="138"/>
    <x v="222"/>
    <x v="285"/>
    <x v="3"/>
  </r>
  <r>
    <x v="0"/>
    <x v="20"/>
    <x v="20"/>
    <x v="1"/>
    <x v="1"/>
    <x v="1"/>
    <x v="0"/>
    <x v="283"/>
    <x v="297"/>
    <x v="204"/>
    <x v="296"/>
    <x v="69"/>
    <x v="271"/>
    <x v="3"/>
  </r>
  <r>
    <x v="0"/>
    <x v="20"/>
    <x v="20"/>
    <x v="0"/>
    <x v="0"/>
    <x v="0"/>
    <x v="1"/>
    <x v="284"/>
    <x v="298"/>
    <x v="205"/>
    <x v="297"/>
    <x v="223"/>
    <x v="286"/>
    <x v="3"/>
  </r>
  <r>
    <x v="0"/>
    <x v="20"/>
    <x v="20"/>
    <x v="4"/>
    <x v="4"/>
    <x v="4"/>
    <x v="2"/>
    <x v="285"/>
    <x v="299"/>
    <x v="49"/>
    <x v="298"/>
    <x v="224"/>
    <x v="287"/>
    <x v="3"/>
  </r>
  <r>
    <x v="0"/>
    <x v="20"/>
    <x v="20"/>
    <x v="3"/>
    <x v="3"/>
    <x v="3"/>
    <x v="2"/>
    <x v="285"/>
    <x v="299"/>
    <x v="176"/>
    <x v="299"/>
    <x v="45"/>
    <x v="288"/>
    <x v="3"/>
  </r>
  <r>
    <x v="0"/>
    <x v="20"/>
    <x v="20"/>
    <x v="5"/>
    <x v="5"/>
    <x v="5"/>
    <x v="4"/>
    <x v="248"/>
    <x v="300"/>
    <x v="102"/>
    <x v="300"/>
    <x v="200"/>
    <x v="170"/>
    <x v="3"/>
  </r>
  <r>
    <x v="0"/>
    <x v="20"/>
    <x v="20"/>
    <x v="2"/>
    <x v="2"/>
    <x v="2"/>
    <x v="5"/>
    <x v="251"/>
    <x v="301"/>
    <x v="206"/>
    <x v="301"/>
    <x v="61"/>
    <x v="163"/>
    <x v="3"/>
  </r>
  <r>
    <x v="0"/>
    <x v="20"/>
    <x v="20"/>
    <x v="11"/>
    <x v="11"/>
    <x v="11"/>
    <x v="6"/>
    <x v="60"/>
    <x v="93"/>
    <x v="192"/>
    <x v="302"/>
    <x v="95"/>
    <x v="4"/>
    <x v="3"/>
  </r>
  <r>
    <x v="0"/>
    <x v="20"/>
    <x v="20"/>
    <x v="9"/>
    <x v="9"/>
    <x v="9"/>
    <x v="7"/>
    <x v="286"/>
    <x v="302"/>
    <x v="141"/>
    <x v="165"/>
    <x v="63"/>
    <x v="238"/>
    <x v="3"/>
  </r>
  <r>
    <x v="0"/>
    <x v="20"/>
    <x v="20"/>
    <x v="6"/>
    <x v="6"/>
    <x v="6"/>
    <x v="8"/>
    <x v="102"/>
    <x v="303"/>
    <x v="98"/>
    <x v="253"/>
    <x v="220"/>
    <x v="289"/>
    <x v="3"/>
  </r>
  <r>
    <x v="0"/>
    <x v="20"/>
    <x v="20"/>
    <x v="12"/>
    <x v="12"/>
    <x v="12"/>
    <x v="9"/>
    <x v="287"/>
    <x v="193"/>
    <x v="112"/>
    <x v="303"/>
    <x v="101"/>
    <x v="32"/>
    <x v="3"/>
  </r>
  <r>
    <x v="0"/>
    <x v="20"/>
    <x v="20"/>
    <x v="8"/>
    <x v="8"/>
    <x v="8"/>
    <x v="10"/>
    <x v="239"/>
    <x v="29"/>
    <x v="52"/>
    <x v="304"/>
    <x v="67"/>
    <x v="290"/>
    <x v="3"/>
  </r>
  <r>
    <x v="0"/>
    <x v="20"/>
    <x v="20"/>
    <x v="10"/>
    <x v="10"/>
    <x v="10"/>
    <x v="11"/>
    <x v="288"/>
    <x v="50"/>
    <x v="49"/>
    <x v="298"/>
    <x v="201"/>
    <x v="267"/>
    <x v="3"/>
  </r>
  <r>
    <x v="0"/>
    <x v="20"/>
    <x v="20"/>
    <x v="7"/>
    <x v="7"/>
    <x v="7"/>
    <x v="12"/>
    <x v="121"/>
    <x v="304"/>
    <x v="181"/>
    <x v="305"/>
    <x v="109"/>
    <x v="188"/>
    <x v="3"/>
  </r>
  <r>
    <x v="0"/>
    <x v="20"/>
    <x v="20"/>
    <x v="25"/>
    <x v="25"/>
    <x v="25"/>
    <x v="13"/>
    <x v="49"/>
    <x v="305"/>
    <x v="105"/>
    <x v="101"/>
    <x v="47"/>
    <x v="291"/>
    <x v="3"/>
  </r>
  <r>
    <x v="0"/>
    <x v="20"/>
    <x v="20"/>
    <x v="13"/>
    <x v="13"/>
    <x v="13"/>
    <x v="14"/>
    <x v="123"/>
    <x v="306"/>
    <x v="67"/>
    <x v="306"/>
    <x v="223"/>
    <x v="286"/>
    <x v="3"/>
  </r>
  <r>
    <x v="0"/>
    <x v="20"/>
    <x v="20"/>
    <x v="18"/>
    <x v="18"/>
    <x v="18"/>
    <x v="15"/>
    <x v="78"/>
    <x v="16"/>
    <x v="70"/>
    <x v="186"/>
    <x v="105"/>
    <x v="292"/>
    <x v="3"/>
  </r>
  <r>
    <x v="0"/>
    <x v="20"/>
    <x v="20"/>
    <x v="21"/>
    <x v="21"/>
    <x v="21"/>
    <x v="16"/>
    <x v="262"/>
    <x v="33"/>
    <x v="80"/>
    <x v="133"/>
    <x v="56"/>
    <x v="117"/>
    <x v="3"/>
  </r>
  <r>
    <x v="0"/>
    <x v="20"/>
    <x v="20"/>
    <x v="14"/>
    <x v="14"/>
    <x v="14"/>
    <x v="17"/>
    <x v="289"/>
    <x v="86"/>
    <x v="71"/>
    <x v="120"/>
    <x v="71"/>
    <x v="293"/>
    <x v="3"/>
  </r>
  <r>
    <x v="0"/>
    <x v="20"/>
    <x v="20"/>
    <x v="20"/>
    <x v="20"/>
    <x v="20"/>
    <x v="18"/>
    <x v="67"/>
    <x v="18"/>
    <x v="80"/>
    <x v="133"/>
    <x v="49"/>
    <x v="294"/>
    <x v="3"/>
  </r>
  <r>
    <x v="0"/>
    <x v="20"/>
    <x v="20"/>
    <x v="17"/>
    <x v="17"/>
    <x v="17"/>
    <x v="19"/>
    <x v="234"/>
    <x v="307"/>
    <x v="46"/>
    <x v="196"/>
    <x v="41"/>
    <x v="295"/>
    <x v="3"/>
  </r>
  <r>
    <x v="0"/>
    <x v="20"/>
    <x v="20"/>
    <x v="15"/>
    <x v="15"/>
    <x v="15"/>
    <x v="19"/>
    <x v="234"/>
    <x v="307"/>
    <x v="106"/>
    <x v="123"/>
    <x v="52"/>
    <x v="30"/>
    <x v="3"/>
  </r>
  <r>
    <x v="0"/>
    <x v="21"/>
    <x v="21"/>
    <x v="1"/>
    <x v="1"/>
    <x v="1"/>
    <x v="0"/>
    <x v="290"/>
    <x v="308"/>
    <x v="97"/>
    <x v="307"/>
    <x v="48"/>
    <x v="124"/>
    <x v="3"/>
  </r>
  <r>
    <x v="0"/>
    <x v="21"/>
    <x v="21"/>
    <x v="0"/>
    <x v="0"/>
    <x v="0"/>
    <x v="1"/>
    <x v="291"/>
    <x v="309"/>
    <x v="152"/>
    <x v="308"/>
    <x v="225"/>
    <x v="244"/>
    <x v="3"/>
  </r>
  <r>
    <x v="0"/>
    <x v="21"/>
    <x v="21"/>
    <x v="3"/>
    <x v="3"/>
    <x v="3"/>
    <x v="2"/>
    <x v="292"/>
    <x v="310"/>
    <x v="58"/>
    <x v="309"/>
    <x v="226"/>
    <x v="296"/>
    <x v="3"/>
  </r>
  <r>
    <x v="0"/>
    <x v="21"/>
    <x v="21"/>
    <x v="5"/>
    <x v="5"/>
    <x v="5"/>
    <x v="3"/>
    <x v="174"/>
    <x v="311"/>
    <x v="118"/>
    <x v="310"/>
    <x v="223"/>
    <x v="297"/>
    <x v="3"/>
  </r>
  <r>
    <x v="0"/>
    <x v="21"/>
    <x v="21"/>
    <x v="4"/>
    <x v="4"/>
    <x v="4"/>
    <x v="4"/>
    <x v="45"/>
    <x v="312"/>
    <x v="83"/>
    <x v="301"/>
    <x v="62"/>
    <x v="298"/>
    <x v="3"/>
  </r>
  <r>
    <x v="0"/>
    <x v="21"/>
    <x v="21"/>
    <x v="11"/>
    <x v="11"/>
    <x v="11"/>
    <x v="5"/>
    <x v="51"/>
    <x v="205"/>
    <x v="51"/>
    <x v="193"/>
    <x v="48"/>
    <x v="124"/>
    <x v="3"/>
  </r>
  <r>
    <x v="0"/>
    <x v="21"/>
    <x v="21"/>
    <x v="9"/>
    <x v="9"/>
    <x v="9"/>
    <x v="6"/>
    <x v="80"/>
    <x v="313"/>
    <x v="94"/>
    <x v="311"/>
    <x v="107"/>
    <x v="140"/>
    <x v="3"/>
  </r>
  <r>
    <x v="0"/>
    <x v="21"/>
    <x v="21"/>
    <x v="2"/>
    <x v="2"/>
    <x v="2"/>
    <x v="7"/>
    <x v="280"/>
    <x v="159"/>
    <x v="114"/>
    <x v="312"/>
    <x v="52"/>
    <x v="299"/>
    <x v="3"/>
  </r>
  <r>
    <x v="0"/>
    <x v="21"/>
    <x v="21"/>
    <x v="12"/>
    <x v="12"/>
    <x v="12"/>
    <x v="8"/>
    <x v="293"/>
    <x v="194"/>
    <x v="67"/>
    <x v="313"/>
    <x v="47"/>
    <x v="112"/>
    <x v="3"/>
  </r>
  <r>
    <x v="0"/>
    <x v="21"/>
    <x v="21"/>
    <x v="18"/>
    <x v="18"/>
    <x v="18"/>
    <x v="9"/>
    <x v="281"/>
    <x v="314"/>
    <x v="56"/>
    <x v="55"/>
    <x v="52"/>
    <x v="299"/>
    <x v="6"/>
  </r>
  <r>
    <x v="0"/>
    <x v="21"/>
    <x v="21"/>
    <x v="10"/>
    <x v="10"/>
    <x v="10"/>
    <x v="10"/>
    <x v="70"/>
    <x v="315"/>
    <x v="45"/>
    <x v="314"/>
    <x v="210"/>
    <x v="248"/>
    <x v="3"/>
  </r>
  <r>
    <x v="0"/>
    <x v="21"/>
    <x v="21"/>
    <x v="6"/>
    <x v="6"/>
    <x v="6"/>
    <x v="11"/>
    <x v="124"/>
    <x v="48"/>
    <x v="91"/>
    <x v="306"/>
    <x v="201"/>
    <x v="300"/>
    <x v="3"/>
  </r>
  <r>
    <x v="0"/>
    <x v="21"/>
    <x v="21"/>
    <x v="25"/>
    <x v="25"/>
    <x v="25"/>
    <x v="12"/>
    <x v="81"/>
    <x v="316"/>
    <x v="78"/>
    <x v="101"/>
    <x v="65"/>
    <x v="301"/>
    <x v="3"/>
  </r>
  <r>
    <x v="0"/>
    <x v="21"/>
    <x v="21"/>
    <x v="7"/>
    <x v="7"/>
    <x v="7"/>
    <x v="13"/>
    <x v="53"/>
    <x v="100"/>
    <x v="61"/>
    <x v="315"/>
    <x v="72"/>
    <x v="302"/>
    <x v="3"/>
  </r>
  <r>
    <x v="0"/>
    <x v="21"/>
    <x v="21"/>
    <x v="8"/>
    <x v="8"/>
    <x v="8"/>
    <x v="14"/>
    <x v="56"/>
    <x v="283"/>
    <x v="46"/>
    <x v="316"/>
    <x v="53"/>
    <x v="303"/>
    <x v="3"/>
  </r>
  <r>
    <x v="0"/>
    <x v="21"/>
    <x v="21"/>
    <x v="13"/>
    <x v="13"/>
    <x v="13"/>
    <x v="14"/>
    <x v="56"/>
    <x v="283"/>
    <x v="54"/>
    <x v="317"/>
    <x v="57"/>
    <x v="198"/>
    <x v="3"/>
  </r>
  <r>
    <x v="0"/>
    <x v="21"/>
    <x v="21"/>
    <x v="20"/>
    <x v="20"/>
    <x v="20"/>
    <x v="16"/>
    <x v="84"/>
    <x v="119"/>
    <x v="55"/>
    <x v="318"/>
    <x v="72"/>
    <x v="302"/>
    <x v="3"/>
  </r>
  <r>
    <x v="0"/>
    <x v="21"/>
    <x v="21"/>
    <x v="21"/>
    <x v="21"/>
    <x v="21"/>
    <x v="17"/>
    <x v="294"/>
    <x v="152"/>
    <x v="55"/>
    <x v="318"/>
    <x v="65"/>
    <x v="301"/>
    <x v="3"/>
  </r>
  <r>
    <x v="0"/>
    <x v="21"/>
    <x v="21"/>
    <x v="16"/>
    <x v="16"/>
    <x v="16"/>
    <x v="18"/>
    <x v="295"/>
    <x v="317"/>
    <x v="37"/>
    <x v="195"/>
    <x v="209"/>
    <x v="304"/>
    <x v="3"/>
  </r>
  <r>
    <x v="0"/>
    <x v="21"/>
    <x v="21"/>
    <x v="19"/>
    <x v="19"/>
    <x v="19"/>
    <x v="19"/>
    <x v="296"/>
    <x v="318"/>
    <x v="79"/>
    <x v="319"/>
    <x v="107"/>
    <x v="140"/>
    <x v="6"/>
  </r>
  <r>
    <x v="0"/>
    <x v="22"/>
    <x v="22"/>
    <x v="1"/>
    <x v="1"/>
    <x v="1"/>
    <x v="0"/>
    <x v="297"/>
    <x v="104"/>
    <x v="131"/>
    <x v="320"/>
    <x v="205"/>
    <x v="305"/>
    <x v="3"/>
  </r>
  <r>
    <x v="0"/>
    <x v="22"/>
    <x v="22"/>
    <x v="3"/>
    <x v="3"/>
    <x v="3"/>
    <x v="1"/>
    <x v="221"/>
    <x v="319"/>
    <x v="101"/>
    <x v="321"/>
    <x v="62"/>
    <x v="306"/>
    <x v="3"/>
  </r>
  <r>
    <x v="0"/>
    <x v="22"/>
    <x v="22"/>
    <x v="5"/>
    <x v="5"/>
    <x v="5"/>
    <x v="2"/>
    <x v="298"/>
    <x v="320"/>
    <x v="207"/>
    <x v="322"/>
    <x v="53"/>
    <x v="307"/>
    <x v="3"/>
  </r>
  <r>
    <x v="0"/>
    <x v="22"/>
    <x v="22"/>
    <x v="0"/>
    <x v="0"/>
    <x v="0"/>
    <x v="3"/>
    <x v="299"/>
    <x v="321"/>
    <x v="186"/>
    <x v="323"/>
    <x v="227"/>
    <x v="308"/>
    <x v="3"/>
  </r>
  <r>
    <x v="0"/>
    <x v="22"/>
    <x v="22"/>
    <x v="4"/>
    <x v="4"/>
    <x v="4"/>
    <x v="4"/>
    <x v="61"/>
    <x v="322"/>
    <x v="147"/>
    <x v="324"/>
    <x v="120"/>
    <x v="309"/>
    <x v="3"/>
  </r>
  <r>
    <x v="0"/>
    <x v="22"/>
    <x v="22"/>
    <x v="2"/>
    <x v="2"/>
    <x v="2"/>
    <x v="5"/>
    <x v="300"/>
    <x v="270"/>
    <x v="105"/>
    <x v="325"/>
    <x v="145"/>
    <x v="310"/>
    <x v="3"/>
  </r>
  <r>
    <x v="0"/>
    <x v="22"/>
    <x v="22"/>
    <x v="9"/>
    <x v="9"/>
    <x v="9"/>
    <x v="6"/>
    <x v="46"/>
    <x v="323"/>
    <x v="169"/>
    <x v="326"/>
    <x v="225"/>
    <x v="291"/>
    <x v="3"/>
  </r>
  <r>
    <x v="0"/>
    <x v="22"/>
    <x v="22"/>
    <x v="11"/>
    <x v="11"/>
    <x v="11"/>
    <x v="7"/>
    <x v="63"/>
    <x v="324"/>
    <x v="112"/>
    <x v="327"/>
    <x v="53"/>
    <x v="307"/>
    <x v="3"/>
  </r>
  <r>
    <x v="0"/>
    <x v="22"/>
    <x v="22"/>
    <x v="6"/>
    <x v="6"/>
    <x v="6"/>
    <x v="8"/>
    <x v="253"/>
    <x v="63"/>
    <x v="193"/>
    <x v="282"/>
    <x v="49"/>
    <x v="311"/>
    <x v="3"/>
  </r>
  <r>
    <x v="0"/>
    <x v="22"/>
    <x v="22"/>
    <x v="10"/>
    <x v="10"/>
    <x v="10"/>
    <x v="9"/>
    <x v="289"/>
    <x v="194"/>
    <x v="52"/>
    <x v="155"/>
    <x v="225"/>
    <x v="291"/>
    <x v="3"/>
  </r>
  <r>
    <x v="0"/>
    <x v="22"/>
    <x v="22"/>
    <x v="8"/>
    <x v="8"/>
    <x v="8"/>
    <x v="10"/>
    <x v="51"/>
    <x v="48"/>
    <x v="182"/>
    <x v="295"/>
    <x v="55"/>
    <x v="312"/>
    <x v="3"/>
  </r>
  <r>
    <x v="0"/>
    <x v="22"/>
    <x v="22"/>
    <x v="12"/>
    <x v="12"/>
    <x v="12"/>
    <x v="11"/>
    <x v="280"/>
    <x v="325"/>
    <x v="51"/>
    <x v="328"/>
    <x v="57"/>
    <x v="239"/>
    <x v="3"/>
  </r>
  <r>
    <x v="0"/>
    <x v="22"/>
    <x v="22"/>
    <x v="32"/>
    <x v="32"/>
    <x v="32"/>
    <x v="12"/>
    <x v="263"/>
    <x v="326"/>
    <x v="66"/>
    <x v="329"/>
    <x v="57"/>
    <x v="239"/>
    <x v="3"/>
  </r>
  <r>
    <x v="0"/>
    <x v="22"/>
    <x v="22"/>
    <x v="33"/>
    <x v="33"/>
    <x v="33"/>
    <x v="13"/>
    <x v="68"/>
    <x v="316"/>
    <x v="81"/>
    <x v="236"/>
    <x v="210"/>
    <x v="119"/>
    <x v="3"/>
  </r>
  <r>
    <x v="0"/>
    <x v="22"/>
    <x v="22"/>
    <x v="13"/>
    <x v="13"/>
    <x v="13"/>
    <x v="14"/>
    <x v="293"/>
    <x v="197"/>
    <x v="114"/>
    <x v="197"/>
    <x v="55"/>
    <x v="312"/>
    <x v="3"/>
  </r>
  <r>
    <x v="0"/>
    <x v="22"/>
    <x v="22"/>
    <x v="7"/>
    <x v="7"/>
    <x v="7"/>
    <x v="15"/>
    <x v="52"/>
    <x v="283"/>
    <x v="182"/>
    <x v="295"/>
    <x v="47"/>
    <x v="49"/>
    <x v="3"/>
  </r>
  <r>
    <x v="0"/>
    <x v="22"/>
    <x v="22"/>
    <x v="25"/>
    <x v="25"/>
    <x v="25"/>
    <x v="16"/>
    <x v="81"/>
    <x v="32"/>
    <x v="121"/>
    <x v="330"/>
    <x v="228"/>
    <x v="313"/>
    <x v="3"/>
  </r>
  <r>
    <x v="0"/>
    <x v="22"/>
    <x v="22"/>
    <x v="26"/>
    <x v="26"/>
    <x v="26"/>
    <x v="17"/>
    <x v="55"/>
    <x v="35"/>
    <x v="114"/>
    <x v="197"/>
    <x v="227"/>
    <x v="308"/>
    <x v="3"/>
  </r>
  <r>
    <x v="0"/>
    <x v="22"/>
    <x v="22"/>
    <x v="34"/>
    <x v="34"/>
    <x v="34"/>
    <x v="18"/>
    <x v="72"/>
    <x v="265"/>
    <x v="71"/>
    <x v="46"/>
    <x v="109"/>
    <x v="93"/>
    <x v="3"/>
  </r>
  <r>
    <x v="0"/>
    <x v="22"/>
    <x v="22"/>
    <x v="23"/>
    <x v="23"/>
    <x v="23"/>
    <x v="19"/>
    <x v="125"/>
    <x v="240"/>
    <x v="54"/>
    <x v="331"/>
    <x v="72"/>
    <x v="92"/>
    <x v="3"/>
  </r>
  <r>
    <x v="0"/>
    <x v="22"/>
    <x v="22"/>
    <x v="17"/>
    <x v="17"/>
    <x v="17"/>
    <x v="19"/>
    <x v="125"/>
    <x v="240"/>
    <x v="37"/>
    <x v="332"/>
    <x v="109"/>
    <x v="93"/>
    <x v="3"/>
  </r>
  <r>
    <x v="0"/>
    <x v="23"/>
    <x v="23"/>
    <x v="1"/>
    <x v="1"/>
    <x v="1"/>
    <x v="0"/>
    <x v="230"/>
    <x v="327"/>
    <x v="187"/>
    <x v="333"/>
    <x v="49"/>
    <x v="170"/>
    <x v="3"/>
  </r>
  <r>
    <x v="0"/>
    <x v="23"/>
    <x v="23"/>
    <x v="0"/>
    <x v="0"/>
    <x v="0"/>
    <x v="1"/>
    <x v="137"/>
    <x v="328"/>
    <x v="208"/>
    <x v="334"/>
    <x v="72"/>
    <x v="314"/>
    <x v="3"/>
  </r>
  <r>
    <x v="0"/>
    <x v="23"/>
    <x v="23"/>
    <x v="4"/>
    <x v="4"/>
    <x v="4"/>
    <x v="2"/>
    <x v="278"/>
    <x v="329"/>
    <x v="209"/>
    <x v="148"/>
    <x v="46"/>
    <x v="315"/>
    <x v="3"/>
  </r>
  <r>
    <x v="0"/>
    <x v="23"/>
    <x v="23"/>
    <x v="3"/>
    <x v="3"/>
    <x v="3"/>
    <x v="3"/>
    <x v="110"/>
    <x v="330"/>
    <x v="124"/>
    <x v="335"/>
    <x v="68"/>
    <x v="316"/>
    <x v="3"/>
  </r>
  <r>
    <x v="0"/>
    <x v="23"/>
    <x v="23"/>
    <x v="5"/>
    <x v="5"/>
    <x v="5"/>
    <x v="4"/>
    <x v="117"/>
    <x v="331"/>
    <x v="210"/>
    <x v="336"/>
    <x v="207"/>
    <x v="317"/>
    <x v="3"/>
  </r>
  <r>
    <x v="0"/>
    <x v="23"/>
    <x v="23"/>
    <x v="6"/>
    <x v="6"/>
    <x v="6"/>
    <x v="5"/>
    <x v="301"/>
    <x v="109"/>
    <x v="101"/>
    <x v="337"/>
    <x v="49"/>
    <x v="170"/>
    <x v="3"/>
  </r>
  <r>
    <x v="0"/>
    <x v="23"/>
    <x v="23"/>
    <x v="25"/>
    <x v="25"/>
    <x v="25"/>
    <x v="6"/>
    <x v="46"/>
    <x v="261"/>
    <x v="104"/>
    <x v="63"/>
    <x v="210"/>
    <x v="318"/>
    <x v="3"/>
  </r>
  <r>
    <x v="0"/>
    <x v="23"/>
    <x v="23"/>
    <x v="35"/>
    <x v="35"/>
    <x v="35"/>
    <x v="7"/>
    <x v="253"/>
    <x v="332"/>
    <x v="34"/>
    <x v="338"/>
    <x v="49"/>
    <x v="170"/>
    <x v="1"/>
  </r>
  <r>
    <x v="0"/>
    <x v="23"/>
    <x v="23"/>
    <x v="8"/>
    <x v="8"/>
    <x v="8"/>
    <x v="8"/>
    <x v="65"/>
    <x v="333"/>
    <x v="167"/>
    <x v="147"/>
    <x v="73"/>
    <x v="300"/>
    <x v="3"/>
  </r>
  <r>
    <x v="0"/>
    <x v="23"/>
    <x v="23"/>
    <x v="11"/>
    <x v="11"/>
    <x v="11"/>
    <x v="9"/>
    <x v="114"/>
    <x v="334"/>
    <x v="147"/>
    <x v="339"/>
    <x v="109"/>
    <x v="319"/>
    <x v="3"/>
  </r>
  <r>
    <x v="0"/>
    <x v="23"/>
    <x v="23"/>
    <x v="2"/>
    <x v="2"/>
    <x v="2"/>
    <x v="10"/>
    <x v="289"/>
    <x v="208"/>
    <x v="64"/>
    <x v="340"/>
    <x v="108"/>
    <x v="178"/>
    <x v="3"/>
  </r>
  <r>
    <x v="0"/>
    <x v="23"/>
    <x v="23"/>
    <x v="9"/>
    <x v="9"/>
    <x v="9"/>
    <x v="10"/>
    <x v="289"/>
    <x v="208"/>
    <x v="174"/>
    <x v="341"/>
    <x v="229"/>
    <x v="320"/>
    <x v="3"/>
  </r>
  <r>
    <x v="0"/>
    <x v="23"/>
    <x v="23"/>
    <x v="12"/>
    <x v="12"/>
    <x v="12"/>
    <x v="12"/>
    <x v="233"/>
    <x v="335"/>
    <x v="94"/>
    <x v="342"/>
    <x v="227"/>
    <x v="200"/>
    <x v="3"/>
  </r>
  <r>
    <x v="0"/>
    <x v="23"/>
    <x v="23"/>
    <x v="34"/>
    <x v="34"/>
    <x v="34"/>
    <x v="13"/>
    <x v="51"/>
    <x v="68"/>
    <x v="83"/>
    <x v="343"/>
    <x v="81"/>
    <x v="321"/>
    <x v="0"/>
  </r>
  <r>
    <x v="0"/>
    <x v="23"/>
    <x v="23"/>
    <x v="10"/>
    <x v="10"/>
    <x v="10"/>
    <x v="14"/>
    <x v="68"/>
    <x v="263"/>
    <x v="68"/>
    <x v="260"/>
    <x v="65"/>
    <x v="322"/>
    <x v="3"/>
  </r>
  <r>
    <x v="0"/>
    <x v="23"/>
    <x v="23"/>
    <x v="33"/>
    <x v="33"/>
    <x v="33"/>
    <x v="15"/>
    <x v="281"/>
    <x v="283"/>
    <x v="121"/>
    <x v="253"/>
    <x v="210"/>
    <x v="318"/>
    <x v="3"/>
  </r>
  <r>
    <x v="0"/>
    <x v="23"/>
    <x v="23"/>
    <x v="13"/>
    <x v="13"/>
    <x v="13"/>
    <x v="15"/>
    <x v="281"/>
    <x v="283"/>
    <x v="64"/>
    <x v="340"/>
    <x v="53"/>
    <x v="323"/>
    <x v="3"/>
  </r>
  <r>
    <x v="0"/>
    <x v="23"/>
    <x v="23"/>
    <x v="7"/>
    <x v="7"/>
    <x v="7"/>
    <x v="17"/>
    <x v="70"/>
    <x v="101"/>
    <x v="182"/>
    <x v="344"/>
    <x v="227"/>
    <x v="200"/>
    <x v="3"/>
  </r>
  <r>
    <x v="0"/>
    <x v="23"/>
    <x v="23"/>
    <x v="26"/>
    <x v="26"/>
    <x v="26"/>
    <x v="18"/>
    <x v="52"/>
    <x v="15"/>
    <x v="182"/>
    <x v="344"/>
    <x v="47"/>
    <x v="324"/>
    <x v="3"/>
  </r>
  <r>
    <x v="0"/>
    <x v="23"/>
    <x v="23"/>
    <x v="32"/>
    <x v="32"/>
    <x v="32"/>
    <x v="19"/>
    <x v="54"/>
    <x v="18"/>
    <x v="182"/>
    <x v="344"/>
    <x v="210"/>
    <x v="318"/>
    <x v="3"/>
  </r>
  <r>
    <x v="0"/>
    <x v="24"/>
    <x v="24"/>
    <x v="1"/>
    <x v="1"/>
    <x v="1"/>
    <x v="0"/>
    <x v="302"/>
    <x v="336"/>
    <x v="211"/>
    <x v="345"/>
    <x v="54"/>
    <x v="325"/>
    <x v="3"/>
  </r>
  <r>
    <x v="0"/>
    <x v="24"/>
    <x v="24"/>
    <x v="0"/>
    <x v="0"/>
    <x v="0"/>
    <x v="1"/>
    <x v="224"/>
    <x v="337"/>
    <x v="76"/>
    <x v="346"/>
    <x v="72"/>
    <x v="164"/>
    <x v="3"/>
  </r>
  <r>
    <x v="0"/>
    <x v="24"/>
    <x v="24"/>
    <x v="3"/>
    <x v="3"/>
    <x v="3"/>
    <x v="2"/>
    <x v="120"/>
    <x v="338"/>
    <x v="147"/>
    <x v="347"/>
    <x v="41"/>
    <x v="326"/>
    <x v="6"/>
  </r>
  <r>
    <x v="0"/>
    <x v="24"/>
    <x v="24"/>
    <x v="5"/>
    <x v="5"/>
    <x v="5"/>
    <x v="3"/>
    <x v="122"/>
    <x v="339"/>
    <x v="105"/>
    <x v="348"/>
    <x v="48"/>
    <x v="1"/>
    <x v="3"/>
  </r>
  <r>
    <x v="0"/>
    <x v="24"/>
    <x v="24"/>
    <x v="4"/>
    <x v="4"/>
    <x v="4"/>
    <x v="4"/>
    <x v="233"/>
    <x v="340"/>
    <x v="69"/>
    <x v="349"/>
    <x v="207"/>
    <x v="327"/>
    <x v="3"/>
  </r>
  <r>
    <x v="0"/>
    <x v="24"/>
    <x v="24"/>
    <x v="11"/>
    <x v="11"/>
    <x v="11"/>
    <x v="5"/>
    <x v="79"/>
    <x v="341"/>
    <x v="35"/>
    <x v="350"/>
    <x v="72"/>
    <x v="164"/>
    <x v="3"/>
  </r>
  <r>
    <x v="0"/>
    <x v="24"/>
    <x v="24"/>
    <x v="6"/>
    <x v="6"/>
    <x v="6"/>
    <x v="6"/>
    <x v="80"/>
    <x v="342"/>
    <x v="121"/>
    <x v="351"/>
    <x v="205"/>
    <x v="328"/>
    <x v="3"/>
  </r>
  <r>
    <x v="0"/>
    <x v="24"/>
    <x v="24"/>
    <x v="9"/>
    <x v="9"/>
    <x v="9"/>
    <x v="6"/>
    <x v="80"/>
    <x v="342"/>
    <x v="147"/>
    <x v="347"/>
    <x v="230"/>
    <x v="329"/>
    <x v="3"/>
  </r>
  <r>
    <x v="0"/>
    <x v="24"/>
    <x v="24"/>
    <x v="10"/>
    <x v="10"/>
    <x v="10"/>
    <x v="8"/>
    <x v="263"/>
    <x v="343"/>
    <x v="81"/>
    <x v="352"/>
    <x v="65"/>
    <x v="330"/>
    <x v="6"/>
  </r>
  <r>
    <x v="0"/>
    <x v="24"/>
    <x v="24"/>
    <x v="2"/>
    <x v="2"/>
    <x v="2"/>
    <x v="9"/>
    <x v="69"/>
    <x v="191"/>
    <x v="37"/>
    <x v="353"/>
    <x v="41"/>
    <x v="326"/>
    <x v="3"/>
  </r>
  <r>
    <x v="0"/>
    <x v="24"/>
    <x v="24"/>
    <x v="8"/>
    <x v="8"/>
    <x v="8"/>
    <x v="10"/>
    <x v="53"/>
    <x v="11"/>
    <x v="91"/>
    <x v="80"/>
    <x v="53"/>
    <x v="167"/>
    <x v="3"/>
  </r>
  <r>
    <x v="0"/>
    <x v="24"/>
    <x v="24"/>
    <x v="12"/>
    <x v="12"/>
    <x v="12"/>
    <x v="11"/>
    <x v="82"/>
    <x v="250"/>
    <x v="69"/>
    <x v="349"/>
    <x v="227"/>
    <x v="331"/>
    <x v="3"/>
  </r>
  <r>
    <x v="0"/>
    <x v="24"/>
    <x v="24"/>
    <x v="13"/>
    <x v="13"/>
    <x v="13"/>
    <x v="11"/>
    <x v="82"/>
    <x v="250"/>
    <x v="106"/>
    <x v="247"/>
    <x v="53"/>
    <x v="167"/>
    <x v="3"/>
  </r>
  <r>
    <x v="0"/>
    <x v="24"/>
    <x v="24"/>
    <x v="15"/>
    <x v="15"/>
    <x v="15"/>
    <x v="13"/>
    <x v="56"/>
    <x v="344"/>
    <x v="46"/>
    <x v="271"/>
    <x v="53"/>
    <x v="167"/>
    <x v="3"/>
  </r>
  <r>
    <x v="0"/>
    <x v="24"/>
    <x v="24"/>
    <x v="7"/>
    <x v="7"/>
    <x v="7"/>
    <x v="14"/>
    <x v="72"/>
    <x v="13"/>
    <x v="69"/>
    <x v="349"/>
    <x v="209"/>
    <x v="332"/>
    <x v="3"/>
  </r>
  <r>
    <x v="0"/>
    <x v="24"/>
    <x v="24"/>
    <x v="25"/>
    <x v="25"/>
    <x v="25"/>
    <x v="15"/>
    <x v="125"/>
    <x v="14"/>
    <x v="68"/>
    <x v="354"/>
    <x v="229"/>
    <x v="333"/>
    <x v="3"/>
  </r>
  <r>
    <x v="0"/>
    <x v="24"/>
    <x v="24"/>
    <x v="36"/>
    <x v="36"/>
    <x v="36"/>
    <x v="16"/>
    <x v="85"/>
    <x v="225"/>
    <x v="71"/>
    <x v="355"/>
    <x v="57"/>
    <x v="334"/>
    <x v="3"/>
  </r>
  <r>
    <x v="0"/>
    <x v="24"/>
    <x v="24"/>
    <x v="16"/>
    <x v="16"/>
    <x v="16"/>
    <x v="17"/>
    <x v="303"/>
    <x v="119"/>
    <x v="82"/>
    <x v="224"/>
    <x v="205"/>
    <x v="328"/>
    <x v="3"/>
  </r>
  <r>
    <x v="0"/>
    <x v="24"/>
    <x v="24"/>
    <x v="34"/>
    <x v="34"/>
    <x v="34"/>
    <x v="18"/>
    <x v="304"/>
    <x v="134"/>
    <x v="46"/>
    <x v="271"/>
    <x v="210"/>
    <x v="89"/>
    <x v="3"/>
  </r>
  <r>
    <x v="0"/>
    <x v="24"/>
    <x v="24"/>
    <x v="18"/>
    <x v="18"/>
    <x v="18"/>
    <x v="18"/>
    <x v="304"/>
    <x v="134"/>
    <x v="56"/>
    <x v="55"/>
    <x v="57"/>
    <x v="334"/>
    <x v="0"/>
  </r>
  <r>
    <x v="0"/>
    <x v="25"/>
    <x v="25"/>
    <x v="32"/>
    <x v="32"/>
    <x v="32"/>
    <x v="0"/>
    <x v="186"/>
    <x v="345"/>
    <x v="212"/>
    <x v="356"/>
    <x v="121"/>
    <x v="335"/>
    <x v="3"/>
  </r>
  <r>
    <x v="0"/>
    <x v="25"/>
    <x v="25"/>
    <x v="0"/>
    <x v="0"/>
    <x v="0"/>
    <x v="1"/>
    <x v="305"/>
    <x v="346"/>
    <x v="175"/>
    <x v="357"/>
    <x v="210"/>
    <x v="265"/>
    <x v="3"/>
  </r>
  <r>
    <x v="0"/>
    <x v="25"/>
    <x v="25"/>
    <x v="3"/>
    <x v="3"/>
    <x v="3"/>
    <x v="2"/>
    <x v="103"/>
    <x v="347"/>
    <x v="213"/>
    <x v="219"/>
    <x v="198"/>
    <x v="336"/>
    <x v="3"/>
  </r>
  <r>
    <x v="0"/>
    <x v="25"/>
    <x v="25"/>
    <x v="1"/>
    <x v="1"/>
    <x v="1"/>
    <x v="3"/>
    <x v="277"/>
    <x v="348"/>
    <x v="214"/>
    <x v="358"/>
    <x v="72"/>
    <x v="324"/>
    <x v="3"/>
  </r>
  <r>
    <x v="0"/>
    <x v="25"/>
    <x v="25"/>
    <x v="37"/>
    <x v="37"/>
    <x v="37"/>
    <x v="4"/>
    <x v="142"/>
    <x v="349"/>
    <x v="18"/>
    <x v="276"/>
    <x v="117"/>
    <x v="337"/>
    <x v="3"/>
  </r>
  <r>
    <x v="0"/>
    <x v="25"/>
    <x v="25"/>
    <x v="2"/>
    <x v="2"/>
    <x v="2"/>
    <x v="5"/>
    <x v="120"/>
    <x v="174"/>
    <x v="80"/>
    <x v="359"/>
    <x v="68"/>
    <x v="338"/>
    <x v="3"/>
  </r>
  <r>
    <x v="0"/>
    <x v="25"/>
    <x v="25"/>
    <x v="5"/>
    <x v="5"/>
    <x v="5"/>
    <x v="6"/>
    <x v="240"/>
    <x v="350"/>
    <x v="146"/>
    <x v="360"/>
    <x v="109"/>
    <x v="339"/>
    <x v="3"/>
  </r>
  <r>
    <x v="0"/>
    <x v="25"/>
    <x v="25"/>
    <x v="16"/>
    <x v="16"/>
    <x v="16"/>
    <x v="7"/>
    <x v="64"/>
    <x v="259"/>
    <x v="182"/>
    <x v="283"/>
    <x v="50"/>
    <x v="340"/>
    <x v="3"/>
  </r>
  <r>
    <x v="0"/>
    <x v="25"/>
    <x v="25"/>
    <x v="4"/>
    <x v="4"/>
    <x v="4"/>
    <x v="8"/>
    <x v="50"/>
    <x v="248"/>
    <x v="182"/>
    <x v="283"/>
    <x v="101"/>
    <x v="341"/>
    <x v="3"/>
  </r>
  <r>
    <x v="0"/>
    <x v="25"/>
    <x v="25"/>
    <x v="11"/>
    <x v="11"/>
    <x v="11"/>
    <x v="9"/>
    <x v="51"/>
    <x v="83"/>
    <x v="94"/>
    <x v="361"/>
    <x v="72"/>
    <x v="324"/>
    <x v="3"/>
  </r>
  <r>
    <x v="0"/>
    <x v="25"/>
    <x v="25"/>
    <x v="6"/>
    <x v="6"/>
    <x v="6"/>
    <x v="10"/>
    <x v="263"/>
    <x v="249"/>
    <x v="81"/>
    <x v="362"/>
    <x v="209"/>
    <x v="342"/>
    <x v="3"/>
  </r>
  <r>
    <x v="0"/>
    <x v="25"/>
    <x v="25"/>
    <x v="9"/>
    <x v="9"/>
    <x v="9"/>
    <x v="11"/>
    <x v="293"/>
    <x v="351"/>
    <x v="66"/>
    <x v="363"/>
    <x v="210"/>
    <x v="265"/>
    <x v="3"/>
  </r>
  <r>
    <x v="0"/>
    <x v="25"/>
    <x v="25"/>
    <x v="17"/>
    <x v="17"/>
    <x v="17"/>
    <x v="12"/>
    <x v="52"/>
    <x v="304"/>
    <x v="114"/>
    <x v="140"/>
    <x v="49"/>
    <x v="343"/>
    <x v="3"/>
  </r>
  <r>
    <x v="0"/>
    <x v="25"/>
    <x v="25"/>
    <x v="7"/>
    <x v="7"/>
    <x v="7"/>
    <x v="13"/>
    <x v="82"/>
    <x v="168"/>
    <x v="114"/>
    <x v="140"/>
    <x v="48"/>
    <x v="15"/>
    <x v="3"/>
  </r>
  <r>
    <x v="0"/>
    <x v="25"/>
    <x v="25"/>
    <x v="33"/>
    <x v="33"/>
    <x v="33"/>
    <x v="14"/>
    <x v="56"/>
    <x v="118"/>
    <x v="64"/>
    <x v="364"/>
    <x v="65"/>
    <x v="344"/>
    <x v="3"/>
  </r>
  <r>
    <x v="0"/>
    <x v="25"/>
    <x v="25"/>
    <x v="23"/>
    <x v="23"/>
    <x v="23"/>
    <x v="15"/>
    <x v="83"/>
    <x v="17"/>
    <x v="83"/>
    <x v="139"/>
    <x v="65"/>
    <x v="344"/>
    <x v="3"/>
  </r>
  <r>
    <x v="0"/>
    <x v="25"/>
    <x v="25"/>
    <x v="10"/>
    <x v="10"/>
    <x v="10"/>
    <x v="15"/>
    <x v="83"/>
    <x v="17"/>
    <x v="83"/>
    <x v="139"/>
    <x v="228"/>
    <x v="345"/>
    <x v="0"/>
  </r>
  <r>
    <x v="0"/>
    <x v="25"/>
    <x v="25"/>
    <x v="12"/>
    <x v="12"/>
    <x v="12"/>
    <x v="17"/>
    <x v="72"/>
    <x v="87"/>
    <x v="106"/>
    <x v="365"/>
    <x v="57"/>
    <x v="51"/>
    <x v="3"/>
  </r>
  <r>
    <x v="0"/>
    <x v="25"/>
    <x v="25"/>
    <x v="25"/>
    <x v="25"/>
    <x v="25"/>
    <x v="17"/>
    <x v="72"/>
    <x v="87"/>
    <x v="61"/>
    <x v="366"/>
    <x v="222"/>
    <x v="346"/>
    <x v="3"/>
  </r>
  <r>
    <x v="0"/>
    <x v="25"/>
    <x v="25"/>
    <x v="13"/>
    <x v="13"/>
    <x v="13"/>
    <x v="19"/>
    <x v="303"/>
    <x v="252"/>
    <x v="55"/>
    <x v="367"/>
    <x v="65"/>
    <x v="344"/>
    <x v="3"/>
  </r>
  <r>
    <x v="0"/>
    <x v="26"/>
    <x v="26"/>
    <x v="0"/>
    <x v="0"/>
    <x v="0"/>
    <x v="0"/>
    <x v="247"/>
    <x v="352"/>
    <x v="208"/>
    <x v="368"/>
    <x v="56"/>
    <x v="292"/>
    <x v="3"/>
  </r>
  <r>
    <x v="0"/>
    <x v="26"/>
    <x v="26"/>
    <x v="1"/>
    <x v="1"/>
    <x v="1"/>
    <x v="1"/>
    <x v="249"/>
    <x v="353"/>
    <x v="19"/>
    <x v="369"/>
    <x v="55"/>
    <x v="154"/>
    <x v="3"/>
  </r>
  <r>
    <x v="0"/>
    <x v="26"/>
    <x v="26"/>
    <x v="2"/>
    <x v="2"/>
    <x v="2"/>
    <x v="2"/>
    <x v="306"/>
    <x v="354"/>
    <x v="176"/>
    <x v="370"/>
    <x v="198"/>
    <x v="347"/>
    <x v="3"/>
  </r>
  <r>
    <x v="0"/>
    <x v="26"/>
    <x v="26"/>
    <x v="3"/>
    <x v="3"/>
    <x v="3"/>
    <x v="3"/>
    <x v="258"/>
    <x v="355"/>
    <x v="215"/>
    <x v="347"/>
    <x v="67"/>
    <x v="348"/>
    <x v="3"/>
  </r>
  <r>
    <x v="0"/>
    <x v="26"/>
    <x v="26"/>
    <x v="4"/>
    <x v="4"/>
    <x v="4"/>
    <x v="4"/>
    <x v="259"/>
    <x v="356"/>
    <x v="18"/>
    <x v="325"/>
    <x v="42"/>
    <x v="349"/>
    <x v="3"/>
  </r>
  <r>
    <x v="0"/>
    <x v="26"/>
    <x v="26"/>
    <x v="5"/>
    <x v="5"/>
    <x v="5"/>
    <x v="5"/>
    <x v="307"/>
    <x v="174"/>
    <x v="213"/>
    <x v="371"/>
    <x v="63"/>
    <x v="350"/>
    <x v="3"/>
  </r>
  <r>
    <x v="0"/>
    <x v="26"/>
    <x v="26"/>
    <x v="10"/>
    <x v="10"/>
    <x v="10"/>
    <x v="6"/>
    <x v="64"/>
    <x v="357"/>
    <x v="174"/>
    <x v="372"/>
    <x v="107"/>
    <x v="135"/>
    <x v="3"/>
  </r>
  <r>
    <x v="0"/>
    <x v="26"/>
    <x v="26"/>
    <x v="9"/>
    <x v="9"/>
    <x v="9"/>
    <x v="7"/>
    <x v="254"/>
    <x v="80"/>
    <x v="63"/>
    <x v="373"/>
    <x v="72"/>
    <x v="114"/>
    <x v="3"/>
  </r>
  <r>
    <x v="0"/>
    <x v="26"/>
    <x v="26"/>
    <x v="12"/>
    <x v="12"/>
    <x v="12"/>
    <x v="8"/>
    <x v="77"/>
    <x v="358"/>
    <x v="182"/>
    <x v="374"/>
    <x v="104"/>
    <x v="351"/>
    <x v="3"/>
  </r>
  <r>
    <x v="0"/>
    <x v="26"/>
    <x v="26"/>
    <x v="8"/>
    <x v="8"/>
    <x v="8"/>
    <x v="9"/>
    <x v="262"/>
    <x v="359"/>
    <x v="83"/>
    <x v="295"/>
    <x v="207"/>
    <x v="352"/>
    <x v="3"/>
  </r>
  <r>
    <x v="0"/>
    <x v="26"/>
    <x v="26"/>
    <x v="11"/>
    <x v="11"/>
    <x v="11"/>
    <x v="10"/>
    <x v="233"/>
    <x v="360"/>
    <x v="66"/>
    <x v="97"/>
    <x v="63"/>
    <x v="350"/>
    <x v="3"/>
  </r>
  <r>
    <x v="0"/>
    <x v="26"/>
    <x v="26"/>
    <x v="6"/>
    <x v="6"/>
    <x v="6"/>
    <x v="11"/>
    <x v="281"/>
    <x v="31"/>
    <x v="64"/>
    <x v="257"/>
    <x v="53"/>
    <x v="194"/>
    <x v="3"/>
  </r>
  <r>
    <x v="0"/>
    <x v="26"/>
    <x v="26"/>
    <x v="7"/>
    <x v="7"/>
    <x v="7"/>
    <x v="12"/>
    <x v="124"/>
    <x v="263"/>
    <x v="80"/>
    <x v="121"/>
    <x v="210"/>
    <x v="353"/>
    <x v="3"/>
  </r>
  <r>
    <x v="0"/>
    <x v="26"/>
    <x v="26"/>
    <x v="18"/>
    <x v="18"/>
    <x v="18"/>
    <x v="12"/>
    <x v="124"/>
    <x v="263"/>
    <x v="56"/>
    <x v="55"/>
    <x v="207"/>
    <x v="352"/>
    <x v="3"/>
  </r>
  <r>
    <x v="0"/>
    <x v="26"/>
    <x v="26"/>
    <x v="13"/>
    <x v="13"/>
    <x v="13"/>
    <x v="14"/>
    <x v="82"/>
    <x v="264"/>
    <x v="114"/>
    <x v="8"/>
    <x v="48"/>
    <x v="354"/>
    <x v="3"/>
  </r>
  <r>
    <x v="0"/>
    <x v="26"/>
    <x v="26"/>
    <x v="20"/>
    <x v="20"/>
    <x v="20"/>
    <x v="15"/>
    <x v="83"/>
    <x v="18"/>
    <x v="71"/>
    <x v="245"/>
    <x v="53"/>
    <x v="194"/>
    <x v="3"/>
  </r>
  <r>
    <x v="0"/>
    <x v="26"/>
    <x v="26"/>
    <x v="25"/>
    <x v="25"/>
    <x v="25"/>
    <x v="16"/>
    <x v="125"/>
    <x v="133"/>
    <x v="62"/>
    <x v="375"/>
    <x v="65"/>
    <x v="8"/>
    <x v="3"/>
  </r>
  <r>
    <x v="0"/>
    <x v="26"/>
    <x v="26"/>
    <x v="26"/>
    <x v="26"/>
    <x v="26"/>
    <x v="17"/>
    <x v="85"/>
    <x v="54"/>
    <x v="46"/>
    <x v="104"/>
    <x v="47"/>
    <x v="304"/>
    <x v="3"/>
  </r>
  <r>
    <x v="0"/>
    <x v="26"/>
    <x v="26"/>
    <x v="21"/>
    <x v="21"/>
    <x v="21"/>
    <x v="17"/>
    <x v="85"/>
    <x v="54"/>
    <x v="54"/>
    <x v="376"/>
    <x v="210"/>
    <x v="353"/>
    <x v="3"/>
  </r>
  <r>
    <x v="0"/>
    <x v="26"/>
    <x v="26"/>
    <x v="15"/>
    <x v="15"/>
    <x v="15"/>
    <x v="19"/>
    <x v="126"/>
    <x v="361"/>
    <x v="70"/>
    <x v="89"/>
    <x v="53"/>
    <x v="194"/>
    <x v="3"/>
  </r>
  <r>
    <x v="0"/>
    <x v="27"/>
    <x v="27"/>
    <x v="1"/>
    <x v="1"/>
    <x v="1"/>
    <x v="0"/>
    <x v="240"/>
    <x v="362"/>
    <x v="104"/>
    <x v="377"/>
    <x v="209"/>
    <x v="211"/>
    <x v="3"/>
  </r>
  <r>
    <x v="0"/>
    <x v="27"/>
    <x v="27"/>
    <x v="0"/>
    <x v="0"/>
    <x v="0"/>
    <x v="1"/>
    <x v="65"/>
    <x v="363"/>
    <x v="112"/>
    <x v="378"/>
    <x v="210"/>
    <x v="212"/>
    <x v="3"/>
  </r>
  <r>
    <x v="0"/>
    <x v="27"/>
    <x v="27"/>
    <x v="4"/>
    <x v="4"/>
    <x v="4"/>
    <x v="2"/>
    <x v="66"/>
    <x v="364"/>
    <x v="114"/>
    <x v="379"/>
    <x v="145"/>
    <x v="355"/>
    <x v="3"/>
  </r>
  <r>
    <x v="0"/>
    <x v="27"/>
    <x v="27"/>
    <x v="3"/>
    <x v="3"/>
    <x v="3"/>
    <x v="3"/>
    <x v="233"/>
    <x v="365"/>
    <x v="45"/>
    <x v="380"/>
    <x v="49"/>
    <x v="175"/>
    <x v="6"/>
  </r>
  <r>
    <x v="0"/>
    <x v="27"/>
    <x v="27"/>
    <x v="5"/>
    <x v="5"/>
    <x v="5"/>
    <x v="4"/>
    <x v="280"/>
    <x v="366"/>
    <x v="35"/>
    <x v="381"/>
    <x v="65"/>
    <x v="356"/>
    <x v="3"/>
  </r>
  <r>
    <x v="0"/>
    <x v="27"/>
    <x v="27"/>
    <x v="10"/>
    <x v="10"/>
    <x v="10"/>
    <x v="5"/>
    <x v="124"/>
    <x v="367"/>
    <x v="50"/>
    <x v="382"/>
    <x v="65"/>
    <x v="356"/>
    <x v="3"/>
  </r>
  <r>
    <x v="0"/>
    <x v="27"/>
    <x v="27"/>
    <x v="9"/>
    <x v="9"/>
    <x v="9"/>
    <x v="6"/>
    <x v="71"/>
    <x v="368"/>
    <x v="52"/>
    <x v="3"/>
    <x v="222"/>
    <x v="357"/>
    <x v="3"/>
  </r>
  <r>
    <x v="0"/>
    <x v="27"/>
    <x v="27"/>
    <x v="11"/>
    <x v="11"/>
    <x v="11"/>
    <x v="7"/>
    <x v="125"/>
    <x v="369"/>
    <x v="50"/>
    <x v="382"/>
    <x v="225"/>
    <x v="214"/>
    <x v="3"/>
  </r>
  <r>
    <x v="0"/>
    <x v="27"/>
    <x v="27"/>
    <x v="21"/>
    <x v="21"/>
    <x v="21"/>
    <x v="8"/>
    <x v="84"/>
    <x v="206"/>
    <x v="71"/>
    <x v="383"/>
    <x v="227"/>
    <x v="358"/>
    <x v="3"/>
  </r>
  <r>
    <x v="0"/>
    <x v="27"/>
    <x v="27"/>
    <x v="8"/>
    <x v="8"/>
    <x v="8"/>
    <x v="9"/>
    <x v="85"/>
    <x v="370"/>
    <x v="37"/>
    <x v="384"/>
    <x v="227"/>
    <x v="358"/>
    <x v="3"/>
  </r>
  <r>
    <x v="0"/>
    <x v="27"/>
    <x v="27"/>
    <x v="2"/>
    <x v="2"/>
    <x v="2"/>
    <x v="9"/>
    <x v="85"/>
    <x v="370"/>
    <x v="55"/>
    <x v="329"/>
    <x v="209"/>
    <x v="211"/>
    <x v="3"/>
  </r>
  <r>
    <x v="0"/>
    <x v="27"/>
    <x v="27"/>
    <x v="25"/>
    <x v="25"/>
    <x v="25"/>
    <x v="11"/>
    <x v="295"/>
    <x v="371"/>
    <x v="54"/>
    <x v="385"/>
    <x v="228"/>
    <x v="291"/>
    <x v="3"/>
  </r>
  <r>
    <x v="0"/>
    <x v="27"/>
    <x v="27"/>
    <x v="6"/>
    <x v="6"/>
    <x v="6"/>
    <x v="12"/>
    <x v="296"/>
    <x v="13"/>
    <x v="46"/>
    <x v="386"/>
    <x v="225"/>
    <x v="214"/>
    <x v="3"/>
  </r>
  <r>
    <x v="0"/>
    <x v="27"/>
    <x v="27"/>
    <x v="12"/>
    <x v="12"/>
    <x v="12"/>
    <x v="12"/>
    <x v="296"/>
    <x v="13"/>
    <x v="46"/>
    <x v="386"/>
    <x v="225"/>
    <x v="214"/>
    <x v="3"/>
  </r>
  <r>
    <x v="0"/>
    <x v="27"/>
    <x v="27"/>
    <x v="20"/>
    <x v="20"/>
    <x v="20"/>
    <x v="12"/>
    <x v="296"/>
    <x v="13"/>
    <x v="71"/>
    <x v="383"/>
    <x v="65"/>
    <x v="356"/>
    <x v="3"/>
  </r>
  <r>
    <x v="0"/>
    <x v="27"/>
    <x v="27"/>
    <x v="16"/>
    <x v="16"/>
    <x v="16"/>
    <x v="15"/>
    <x v="308"/>
    <x v="283"/>
    <x v="53"/>
    <x v="26"/>
    <x v="209"/>
    <x v="211"/>
    <x v="3"/>
  </r>
  <r>
    <x v="0"/>
    <x v="27"/>
    <x v="27"/>
    <x v="13"/>
    <x v="13"/>
    <x v="13"/>
    <x v="16"/>
    <x v="309"/>
    <x v="224"/>
    <x v="79"/>
    <x v="387"/>
    <x v="209"/>
    <x v="211"/>
    <x v="3"/>
  </r>
  <r>
    <x v="0"/>
    <x v="27"/>
    <x v="27"/>
    <x v="34"/>
    <x v="34"/>
    <x v="34"/>
    <x v="17"/>
    <x v="310"/>
    <x v="240"/>
    <x v="37"/>
    <x v="384"/>
    <x v="229"/>
    <x v="359"/>
    <x v="6"/>
  </r>
  <r>
    <x v="0"/>
    <x v="27"/>
    <x v="27"/>
    <x v="7"/>
    <x v="7"/>
    <x v="7"/>
    <x v="17"/>
    <x v="310"/>
    <x v="240"/>
    <x v="37"/>
    <x v="384"/>
    <x v="228"/>
    <x v="291"/>
    <x v="3"/>
  </r>
  <r>
    <x v="0"/>
    <x v="27"/>
    <x v="27"/>
    <x v="23"/>
    <x v="23"/>
    <x v="23"/>
    <x v="19"/>
    <x v="311"/>
    <x v="372"/>
    <x v="70"/>
    <x v="169"/>
    <x v="225"/>
    <x v="214"/>
    <x v="3"/>
  </r>
  <r>
    <x v="0"/>
    <x v="27"/>
    <x v="27"/>
    <x v="26"/>
    <x v="26"/>
    <x v="26"/>
    <x v="19"/>
    <x v="311"/>
    <x v="372"/>
    <x v="82"/>
    <x v="332"/>
    <x v="230"/>
    <x v="92"/>
    <x v="3"/>
  </r>
  <r>
    <x v="0"/>
    <x v="27"/>
    <x v="27"/>
    <x v="17"/>
    <x v="17"/>
    <x v="17"/>
    <x v="19"/>
    <x v="311"/>
    <x v="372"/>
    <x v="79"/>
    <x v="387"/>
    <x v="222"/>
    <x v="357"/>
    <x v="3"/>
  </r>
  <r>
    <x v="0"/>
    <x v="27"/>
    <x v="27"/>
    <x v="24"/>
    <x v="24"/>
    <x v="24"/>
    <x v="19"/>
    <x v="311"/>
    <x v="372"/>
    <x v="82"/>
    <x v="332"/>
    <x v="230"/>
    <x v="92"/>
    <x v="3"/>
  </r>
  <r>
    <x v="0"/>
    <x v="28"/>
    <x v="28"/>
    <x v="1"/>
    <x v="1"/>
    <x v="1"/>
    <x v="0"/>
    <x v="222"/>
    <x v="373"/>
    <x v="216"/>
    <x v="388"/>
    <x v="48"/>
    <x v="360"/>
    <x v="3"/>
  </r>
  <r>
    <x v="0"/>
    <x v="28"/>
    <x v="28"/>
    <x v="4"/>
    <x v="4"/>
    <x v="4"/>
    <x v="1"/>
    <x v="277"/>
    <x v="374"/>
    <x v="50"/>
    <x v="152"/>
    <x v="217"/>
    <x v="361"/>
    <x v="3"/>
  </r>
  <r>
    <x v="0"/>
    <x v="28"/>
    <x v="28"/>
    <x v="6"/>
    <x v="6"/>
    <x v="6"/>
    <x v="2"/>
    <x v="48"/>
    <x v="375"/>
    <x v="67"/>
    <x v="389"/>
    <x v="145"/>
    <x v="362"/>
    <x v="3"/>
  </r>
  <r>
    <x v="0"/>
    <x v="28"/>
    <x v="28"/>
    <x v="0"/>
    <x v="0"/>
    <x v="0"/>
    <x v="2"/>
    <x v="48"/>
    <x v="375"/>
    <x v="215"/>
    <x v="390"/>
    <x v="209"/>
    <x v="363"/>
    <x v="3"/>
  </r>
  <r>
    <x v="0"/>
    <x v="28"/>
    <x v="28"/>
    <x v="8"/>
    <x v="8"/>
    <x v="8"/>
    <x v="4"/>
    <x v="312"/>
    <x v="289"/>
    <x v="62"/>
    <x v="391"/>
    <x v="50"/>
    <x v="364"/>
    <x v="3"/>
  </r>
  <r>
    <x v="0"/>
    <x v="28"/>
    <x v="28"/>
    <x v="3"/>
    <x v="3"/>
    <x v="3"/>
    <x v="5"/>
    <x v="65"/>
    <x v="376"/>
    <x v="34"/>
    <x v="392"/>
    <x v="81"/>
    <x v="206"/>
    <x v="3"/>
  </r>
  <r>
    <x v="0"/>
    <x v="28"/>
    <x v="28"/>
    <x v="5"/>
    <x v="5"/>
    <x v="5"/>
    <x v="6"/>
    <x v="261"/>
    <x v="377"/>
    <x v="177"/>
    <x v="393"/>
    <x v="205"/>
    <x v="202"/>
    <x v="6"/>
  </r>
  <r>
    <x v="0"/>
    <x v="28"/>
    <x v="28"/>
    <x v="9"/>
    <x v="9"/>
    <x v="9"/>
    <x v="7"/>
    <x v="69"/>
    <x v="175"/>
    <x v="94"/>
    <x v="93"/>
    <x v="230"/>
    <x v="365"/>
    <x v="3"/>
  </r>
  <r>
    <x v="0"/>
    <x v="28"/>
    <x v="28"/>
    <x v="10"/>
    <x v="10"/>
    <x v="10"/>
    <x v="8"/>
    <x v="281"/>
    <x v="217"/>
    <x v="121"/>
    <x v="394"/>
    <x v="65"/>
    <x v="366"/>
    <x v="6"/>
  </r>
  <r>
    <x v="0"/>
    <x v="28"/>
    <x v="28"/>
    <x v="11"/>
    <x v="11"/>
    <x v="11"/>
    <x v="9"/>
    <x v="54"/>
    <x v="262"/>
    <x v="83"/>
    <x v="395"/>
    <x v="47"/>
    <x v="367"/>
    <x v="3"/>
  </r>
  <r>
    <x v="0"/>
    <x v="28"/>
    <x v="28"/>
    <x v="12"/>
    <x v="12"/>
    <x v="12"/>
    <x v="10"/>
    <x v="71"/>
    <x v="97"/>
    <x v="84"/>
    <x v="396"/>
    <x v="53"/>
    <x v="368"/>
    <x v="3"/>
  </r>
  <r>
    <x v="0"/>
    <x v="28"/>
    <x v="28"/>
    <x v="2"/>
    <x v="2"/>
    <x v="2"/>
    <x v="10"/>
    <x v="71"/>
    <x v="97"/>
    <x v="84"/>
    <x v="396"/>
    <x v="109"/>
    <x v="152"/>
    <x v="3"/>
  </r>
  <r>
    <x v="0"/>
    <x v="28"/>
    <x v="28"/>
    <x v="7"/>
    <x v="7"/>
    <x v="7"/>
    <x v="12"/>
    <x v="72"/>
    <x v="326"/>
    <x v="61"/>
    <x v="230"/>
    <x v="222"/>
    <x v="369"/>
    <x v="3"/>
  </r>
  <r>
    <x v="0"/>
    <x v="28"/>
    <x v="28"/>
    <x v="20"/>
    <x v="20"/>
    <x v="20"/>
    <x v="13"/>
    <x v="282"/>
    <x v="378"/>
    <x v="91"/>
    <x v="397"/>
    <x v="209"/>
    <x v="363"/>
    <x v="3"/>
  </r>
  <r>
    <x v="0"/>
    <x v="28"/>
    <x v="28"/>
    <x v="13"/>
    <x v="13"/>
    <x v="13"/>
    <x v="14"/>
    <x v="303"/>
    <x v="264"/>
    <x v="37"/>
    <x v="87"/>
    <x v="72"/>
    <x v="295"/>
    <x v="3"/>
  </r>
  <r>
    <x v="0"/>
    <x v="28"/>
    <x v="28"/>
    <x v="25"/>
    <x v="25"/>
    <x v="25"/>
    <x v="15"/>
    <x v="294"/>
    <x v="379"/>
    <x v="69"/>
    <x v="398"/>
    <x v="229"/>
    <x v="370"/>
    <x v="3"/>
  </r>
  <r>
    <x v="0"/>
    <x v="28"/>
    <x v="28"/>
    <x v="16"/>
    <x v="16"/>
    <x v="16"/>
    <x v="16"/>
    <x v="295"/>
    <x v="120"/>
    <x v="37"/>
    <x v="87"/>
    <x v="209"/>
    <x v="363"/>
    <x v="3"/>
  </r>
  <r>
    <x v="0"/>
    <x v="28"/>
    <x v="28"/>
    <x v="15"/>
    <x v="15"/>
    <x v="15"/>
    <x v="17"/>
    <x v="296"/>
    <x v="19"/>
    <x v="53"/>
    <x v="399"/>
    <x v="107"/>
    <x v="35"/>
    <x v="3"/>
  </r>
  <r>
    <x v="0"/>
    <x v="28"/>
    <x v="28"/>
    <x v="28"/>
    <x v="28"/>
    <x v="28"/>
    <x v="18"/>
    <x v="308"/>
    <x v="53"/>
    <x v="37"/>
    <x v="87"/>
    <x v="65"/>
    <x v="366"/>
    <x v="3"/>
  </r>
  <r>
    <x v="0"/>
    <x v="28"/>
    <x v="28"/>
    <x v="18"/>
    <x v="18"/>
    <x v="18"/>
    <x v="18"/>
    <x v="308"/>
    <x v="53"/>
    <x v="56"/>
    <x v="55"/>
    <x v="57"/>
    <x v="212"/>
    <x v="3"/>
  </r>
  <r>
    <x v="0"/>
    <x v="29"/>
    <x v="29"/>
    <x v="1"/>
    <x v="1"/>
    <x v="1"/>
    <x v="0"/>
    <x v="252"/>
    <x v="122"/>
    <x v="217"/>
    <x v="400"/>
    <x v="47"/>
    <x v="371"/>
    <x v="3"/>
  </r>
  <r>
    <x v="0"/>
    <x v="29"/>
    <x v="29"/>
    <x v="2"/>
    <x v="2"/>
    <x v="2"/>
    <x v="1"/>
    <x v="175"/>
    <x v="380"/>
    <x v="39"/>
    <x v="191"/>
    <x v="207"/>
    <x v="372"/>
    <x v="3"/>
  </r>
  <r>
    <x v="0"/>
    <x v="29"/>
    <x v="29"/>
    <x v="0"/>
    <x v="0"/>
    <x v="0"/>
    <x v="2"/>
    <x v="307"/>
    <x v="328"/>
    <x v="202"/>
    <x v="401"/>
    <x v="230"/>
    <x v="207"/>
    <x v="3"/>
  </r>
  <r>
    <x v="0"/>
    <x v="29"/>
    <x v="29"/>
    <x v="3"/>
    <x v="3"/>
    <x v="3"/>
    <x v="3"/>
    <x v="64"/>
    <x v="381"/>
    <x v="35"/>
    <x v="266"/>
    <x v="52"/>
    <x v="373"/>
    <x v="3"/>
  </r>
  <r>
    <x v="0"/>
    <x v="29"/>
    <x v="29"/>
    <x v="4"/>
    <x v="4"/>
    <x v="4"/>
    <x v="4"/>
    <x v="78"/>
    <x v="231"/>
    <x v="83"/>
    <x v="402"/>
    <x v="95"/>
    <x v="374"/>
    <x v="3"/>
  </r>
  <r>
    <x v="0"/>
    <x v="29"/>
    <x v="29"/>
    <x v="5"/>
    <x v="5"/>
    <x v="5"/>
    <x v="5"/>
    <x v="263"/>
    <x v="382"/>
    <x v="121"/>
    <x v="403"/>
    <x v="57"/>
    <x v="143"/>
    <x v="6"/>
  </r>
  <r>
    <x v="0"/>
    <x v="29"/>
    <x v="29"/>
    <x v="10"/>
    <x v="10"/>
    <x v="10"/>
    <x v="6"/>
    <x v="68"/>
    <x v="188"/>
    <x v="34"/>
    <x v="404"/>
    <x v="209"/>
    <x v="200"/>
    <x v="3"/>
  </r>
  <r>
    <x v="0"/>
    <x v="29"/>
    <x v="29"/>
    <x v="9"/>
    <x v="9"/>
    <x v="9"/>
    <x v="7"/>
    <x v="241"/>
    <x v="383"/>
    <x v="66"/>
    <x v="405"/>
    <x v="228"/>
    <x v="375"/>
    <x v="3"/>
  </r>
  <r>
    <x v="0"/>
    <x v="29"/>
    <x v="29"/>
    <x v="7"/>
    <x v="7"/>
    <x v="7"/>
    <x v="8"/>
    <x v="81"/>
    <x v="191"/>
    <x v="83"/>
    <x v="402"/>
    <x v="227"/>
    <x v="303"/>
    <x v="3"/>
  </r>
  <r>
    <x v="0"/>
    <x v="29"/>
    <x v="29"/>
    <x v="11"/>
    <x v="11"/>
    <x v="11"/>
    <x v="9"/>
    <x v="54"/>
    <x v="159"/>
    <x v="62"/>
    <x v="406"/>
    <x v="227"/>
    <x v="303"/>
    <x v="3"/>
  </r>
  <r>
    <x v="0"/>
    <x v="29"/>
    <x v="29"/>
    <x v="6"/>
    <x v="6"/>
    <x v="6"/>
    <x v="10"/>
    <x v="282"/>
    <x v="384"/>
    <x v="55"/>
    <x v="261"/>
    <x v="47"/>
    <x v="371"/>
    <x v="3"/>
  </r>
  <r>
    <x v="0"/>
    <x v="29"/>
    <x v="29"/>
    <x v="12"/>
    <x v="12"/>
    <x v="12"/>
    <x v="11"/>
    <x v="84"/>
    <x v="181"/>
    <x v="91"/>
    <x v="407"/>
    <x v="210"/>
    <x v="363"/>
    <x v="3"/>
  </r>
  <r>
    <x v="0"/>
    <x v="29"/>
    <x v="29"/>
    <x v="18"/>
    <x v="18"/>
    <x v="18"/>
    <x v="11"/>
    <x v="84"/>
    <x v="181"/>
    <x v="70"/>
    <x v="213"/>
    <x v="49"/>
    <x v="376"/>
    <x v="3"/>
  </r>
  <r>
    <x v="0"/>
    <x v="29"/>
    <x v="29"/>
    <x v="8"/>
    <x v="8"/>
    <x v="8"/>
    <x v="13"/>
    <x v="85"/>
    <x v="196"/>
    <x v="71"/>
    <x v="263"/>
    <x v="57"/>
    <x v="143"/>
    <x v="3"/>
  </r>
  <r>
    <x v="0"/>
    <x v="29"/>
    <x v="29"/>
    <x v="25"/>
    <x v="25"/>
    <x v="25"/>
    <x v="14"/>
    <x v="126"/>
    <x v="184"/>
    <x v="62"/>
    <x v="406"/>
    <x v="228"/>
    <x v="375"/>
    <x v="3"/>
  </r>
  <r>
    <x v="0"/>
    <x v="29"/>
    <x v="29"/>
    <x v="28"/>
    <x v="28"/>
    <x v="28"/>
    <x v="15"/>
    <x v="303"/>
    <x v="385"/>
    <x v="53"/>
    <x v="245"/>
    <x v="227"/>
    <x v="303"/>
    <x v="3"/>
  </r>
  <r>
    <x v="0"/>
    <x v="29"/>
    <x v="29"/>
    <x v="20"/>
    <x v="20"/>
    <x v="20"/>
    <x v="15"/>
    <x v="303"/>
    <x v="385"/>
    <x v="84"/>
    <x v="408"/>
    <x v="209"/>
    <x v="200"/>
    <x v="3"/>
  </r>
  <r>
    <x v="0"/>
    <x v="29"/>
    <x v="29"/>
    <x v="13"/>
    <x v="13"/>
    <x v="13"/>
    <x v="17"/>
    <x v="294"/>
    <x v="71"/>
    <x v="79"/>
    <x v="158"/>
    <x v="227"/>
    <x v="303"/>
    <x v="3"/>
  </r>
  <r>
    <x v="0"/>
    <x v="29"/>
    <x v="29"/>
    <x v="16"/>
    <x v="16"/>
    <x v="16"/>
    <x v="18"/>
    <x v="295"/>
    <x v="386"/>
    <x v="82"/>
    <x v="173"/>
    <x v="57"/>
    <x v="143"/>
    <x v="3"/>
  </r>
  <r>
    <x v="0"/>
    <x v="29"/>
    <x v="29"/>
    <x v="15"/>
    <x v="15"/>
    <x v="15"/>
    <x v="19"/>
    <x v="309"/>
    <x v="135"/>
    <x v="79"/>
    <x v="158"/>
    <x v="209"/>
    <x v="200"/>
    <x v="3"/>
  </r>
  <r>
    <x v="0"/>
    <x v="30"/>
    <x v="30"/>
    <x v="1"/>
    <x v="1"/>
    <x v="1"/>
    <x v="0"/>
    <x v="229"/>
    <x v="387"/>
    <x v="218"/>
    <x v="377"/>
    <x v="200"/>
    <x v="377"/>
    <x v="3"/>
  </r>
  <r>
    <x v="0"/>
    <x v="30"/>
    <x v="30"/>
    <x v="0"/>
    <x v="0"/>
    <x v="0"/>
    <x v="1"/>
    <x v="247"/>
    <x v="388"/>
    <x v="219"/>
    <x v="296"/>
    <x v="63"/>
    <x v="49"/>
    <x v="3"/>
  </r>
  <r>
    <x v="0"/>
    <x v="30"/>
    <x v="30"/>
    <x v="2"/>
    <x v="2"/>
    <x v="2"/>
    <x v="2"/>
    <x v="97"/>
    <x v="389"/>
    <x v="112"/>
    <x v="409"/>
    <x v="204"/>
    <x v="378"/>
    <x v="3"/>
  </r>
  <r>
    <x v="0"/>
    <x v="30"/>
    <x v="30"/>
    <x v="4"/>
    <x v="4"/>
    <x v="4"/>
    <x v="3"/>
    <x v="302"/>
    <x v="390"/>
    <x v="121"/>
    <x v="410"/>
    <x v="170"/>
    <x v="379"/>
    <x v="3"/>
  </r>
  <r>
    <x v="0"/>
    <x v="30"/>
    <x v="30"/>
    <x v="3"/>
    <x v="3"/>
    <x v="3"/>
    <x v="4"/>
    <x v="260"/>
    <x v="391"/>
    <x v="49"/>
    <x v="411"/>
    <x v="231"/>
    <x v="130"/>
    <x v="3"/>
  </r>
  <r>
    <x v="0"/>
    <x v="30"/>
    <x v="30"/>
    <x v="5"/>
    <x v="5"/>
    <x v="5"/>
    <x v="5"/>
    <x v="313"/>
    <x v="392"/>
    <x v="213"/>
    <x v="412"/>
    <x v="207"/>
    <x v="121"/>
    <x v="3"/>
  </r>
  <r>
    <x v="0"/>
    <x v="30"/>
    <x v="30"/>
    <x v="8"/>
    <x v="8"/>
    <x v="8"/>
    <x v="6"/>
    <x v="314"/>
    <x v="189"/>
    <x v="61"/>
    <x v="294"/>
    <x v="220"/>
    <x v="118"/>
    <x v="3"/>
  </r>
  <r>
    <x v="0"/>
    <x v="30"/>
    <x v="30"/>
    <x v="7"/>
    <x v="7"/>
    <x v="7"/>
    <x v="7"/>
    <x v="253"/>
    <x v="393"/>
    <x v="105"/>
    <x v="413"/>
    <x v="227"/>
    <x v="265"/>
    <x v="3"/>
  </r>
  <r>
    <x v="0"/>
    <x v="30"/>
    <x v="30"/>
    <x v="10"/>
    <x v="10"/>
    <x v="10"/>
    <x v="8"/>
    <x v="312"/>
    <x v="159"/>
    <x v="98"/>
    <x v="160"/>
    <x v="54"/>
    <x v="380"/>
    <x v="6"/>
  </r>
  <r>
    <x v="0"/>
    <x v="30"/>
    <x v="30"/>
    <x v="12"/>
    <x v="12"/>
    <x v="12"/>
    <x v="9"/>
    <x v="114"/>
    <x v="160"/>
    <x v="106"/>
    <x v="414"/>
    <x v="69"/>
    <x v="381"/>
    <x v="3"/>
  </r>
  <r>
    <x v="0"/>
    <x v="30"/>
    <x v="30"/>
    <x v="11"/>
    <x v="11"/>
    <x v="11"/>
    <x v="9"/>
    <x v="114"/>
    <x v="160"/>
    <x v="167"/>
    <x v="153"/>
    <x v="56"/>
    <x v="382"/>
    <x v="3"/>
  </r>
  <r>
    <x v="0"/>
    <x v="30"/>
    <x v="30"/>
    <x v="9"/>
    <x v="9"/>
    <x v="9"/>
    <x v="11"/>
    <x v="77"/>
    <x v="177"/>
    <x v="63"/>
    <x v="415"/>
    <x v="65"/>
    <x v="383"/>
    <x v="3"/>
  </r>
  <r>
    <x v="0"/>
    <x v="30"/>
    <x v="30"/>
    <x v="6"/>
    <x v="6"/>
    <x v="6"/>
    <x v="12"/>
    <x v="262"/>
    <x v="394"/>
    <x v="83"/>
    <x v="416"/>
    <x v="207"/>
    <x v="121"/>
    <x v="3"/>
  </r>
  <r>
    <x v="0"/>
    <x v="30"/>
    <x v="30"/>
    <x v="13"/>
    <x v="13"/>
    <x v="13"/>
    <x v="12"/>
    <x v="262"/>
    <x v="394"/>
    <x v="83"/>
    <x v="416"/>
    <x v="207"/>
    <x v="121"/>
    <x v="3"/>
  </r>
  <r>
    <x v="0"/>
    <x v="30"/>
    <x v="30"/>
    <x v="14"/>
    <x v="14"/>
    <x v="14"/>
    <x v="14"/>
    <x v="70"/>
    <x v="131"/>
    <x v="82"/>
    <x v="99"/>
    <x v="207"/>
    <x v="121"/>
    <x v="3"/>
  </r>
  <r>
    <x v="0"/>
    <x v="30"/>
    <x v="30"/>
    <x v="16"/>
    <x v="16"/>
    <x v="16"/>
    <x v="15"/>
    <x v="53"/>
    <x v="118"/>
    <x v="79"/>
    <x v="319"/>
    <x v="223"/>
    <x v="319"/>
    <x v="3"/>
  </r>
  <r>
    <x v="0"/>
    <x v="30"/>
    <x v="30"/>
    <x v="19"/>
    <x v="19"/>
    <x v="19"/>
    <x v="16"/>
    <x v="82"/>
    <x v="18"/>
    <x v="70"/>
    <x v="417"/>
    <x v="73"/>
    <x v="15"/>
    <x v="6"/>
  </r>
  <r>
    <x v="0"/>
    <x v="30"/>
    <x v="30"/>
    <x v="17"/>
    <x v="17"/>
    <x v="17"/>
    <x v="17"/>
    <x v="55"/>
    <x v="120"/>
    <x v="56"/>
    <x v="55"/>
    <x v="223"/>
    <x v="319"/>
    <x v="3"/>
  </r>
  <r>
    <x v="0"/>
    <x v="30"/>
    <x v="30"/>
    <x v="15"/>
    <x v="15"/>
    <x v="15"/>
    <x v="18"/>
    <x v="71"/>
    <x v="295"/>
    <x v="79"/>
    <x v="319"/>
    <x v="55"/>
    <x v="112"/>
    <x v="3"/>
  </r>
  <r>
    <x v="0"/>
    <x v="30"/>
    <x v="30"/>
    <x v="20"/>
    <x v="20"/>
    <x v="20"/>
    <x v="18"/>
    <x v="71"/>
    <x v="295"/>
    <x v="55"/>
    <x v="271"/>
    <x v="109"/>
    <x v="99"/>
    <x v="3"/>
  </r>
  <r>
    <x v="0"/>
    <x v="31"/>
    <x v="31"/>
    <x v="1"/>
    <x v="1"/>
    <x v="1"/>
    <x v="0"/>
    <x v="315"/>
    <x v="395"/>
    <x v="41"/>
    <x v="418"/>
    <x v="50"/>
    <x v="384"/>
    <x v="3"/>
  </r>
  <r>
    <x v="0"/>
    <x v="31"/>
    <x v="31"/>
    <x v="0"/>
    <x v="0"/>
    <x v="0"/>
    <x v="1"/>
    <x v="57"/>
    <x v="104"/>
    <x v="41"/>
    <x v="418"/>
    <x v="227"/>
    <x v="301"/>
    <x v="3"/>
  </r>
  <r>
    <x v="0"/>
    <x v="31"/>
    <x v="31"/>
    <x v="2"/>
    <x v="2"/>
    <x v="2"/>
    <x v="2"/>
    <x v="115"/>
    <x v="396"/>
    <x v="44"/>
    <x v="419"/>
    <x v="197"/>
    <x v="385"/>
    <x v="3"/>
  </r>
  <r>
    <x v="0"/>
    <x v="31"/>
    <x v="31"/>
    <x v="6"/>
    <x v="6"/>
    <x v="6"/>
    <x v="3"/>
    <x v="100"/>
    <x v="397"/>
    <x v="45"/>
    <x v="420"/>
    <x v="193"/>
    <x v="386"/>
    <x v="3"/>
  </r>
  <r>
    <x v="0"/>
    <x v="31"/>
    <x v="31"/>
    <x v="4"/>
    <x v="4"/>
    <x v="4"/>
    <x v="4"/>
    <x v="238"/>
    <x v="398"/>
    <x v="182"/>
    <x v="235"/>
    <x v="151"/>
    <x v="387"/>
    <x v="3"/>
  </r>
  <r>
    <x v="0"/>
    <x v="31"/>
    <x v="31"/>
    <x v="10"/>
    <x v="10"/>
    <x v="10"/>
    <x v="5"/>
    <x v="223"/>
    <x v="399"/>
    <x v="111"/>
    <x v="421"/>
    <x v="201"/>
    <x v="62"/>
    <x v="14"/>
  </r>
  <r>
    <x v="0"/>
    <x v="31"/>
    <x v="31"/>
    <x v="3"/>
    <x v="3"/>
    <x v="3"/>
    <x v="6"/>
    <x v="313"/>
    <x v="400"/>
    <x v="135"/>
    <x v="422"/>
    <x v="64"/>
    <x v="290"/>
    <x v="3"/>
  </r>
  <r>
    <x v="0"/>
    <x v="31"/>
    <x v="31"/>
    <x v="8"/>
    <x v="8"/>
    <x v="8"/>
    <x v="7"/>
    <x v="316"/>
    <x v="127"/>
    <x v="50"/>
    <x v="62"/>
    <x v="106"/>
    <x v="388"/>
    <x v="3"/>
  </r>
  <r>
    <x v="0"/>
    <x v="31"/>
    <x v="31"/>
    <x v="5"/>
    <x v="5"/>
    <x v="5"/>
    <x v="8"/>
    <x v="120"/>
    <x v="401"/>
    <x v="181"/>
    <x v="423"/>
    <x v="201"/>
    <x v="62"/>
    <x v="8"/>
  </r>
  <r>
    <x v="0"/>
    <x v="31"/>
    <x v="31"/>
    <x v="11"/>
    <x v="11"/>
    <x v="11"/>
    <x v="9"/>
    <x v="49"/>
    <x v="402"/>
    <x v="135"/>
    <x v="422"/>
    <x v="49"/>
    <x v="58"/>
    <x v="3"/>
  </r>
  <r>
    <x v="0"/>
    <x v="31"/>
    <x v="31"/>
    <x v="9"/>
    <x v="9"/>
    <x v="9"/>
    <x v="10"/>
    <x v="312"/>
    <x v="193"/>
    <x v="112"/>
    <x v="424"/>
    <x v="107"/>
    <x v="389"/>
    <x v="3"/>
  </r>
  <r>
    <x v="0"/>
    <x v="31"/>
    <x v="31"/>
    <x v="7"/>
    <x v="7"/>
    <x v="7"/>
    <x v="11"/>
    <x v="114"/>
    <x v="97"/>
    <x v="78"/>
    <x v="425"/>
    <x v="108"/>
    <x v="390"/>
    <x v="6"/>
  </r>
  <r>
    <x v="0"/>
    <x v="31"/>
    <x v="31"/>
    <x v="13"/>
    <x v="13"/>
    <x v="13"/>
    <x v="12"/>
    <x v="66"/>
    <x v="294"/>
    <x v="68"/>
    <x v="257"/>
    <x v="52"/>
    <x v="157"/>
    <x v="3"/>
  </r>
  <r>
    <x v="0"/>
    <x v="31"/>
    <x v="31"/>
    <x v="16"/>
    <x v="16"/>
    <x v="16"/>
    <x v="13"/>
    <x v="80"/>
    <x v="403"/>
    <x v="106"/>
    <x v="426"/>
    <x v="207"/>
    <x v="151"/>
    <x v="3"/>
  </r>
  <r>
    <x v="0"/>
    <x v="31"/>
    <x v="31"/>
    <x v="14"/>
    <x v="14"/>
    <x v="14"/>
    <x v="14"/>
    <x v="68"/>
    <x v="404"/>
    <x v="79"/>
    <x v="224"/>
    <x v="117"/>
    <x v="78"/>
    <x v="3"/>
  </r>
  <r>
    <x v="0"/>
    <x v="31"/>
    <x v="31"/>
    <x v="12"/>
    <x v="12"/>
    <x v="12"/>
    <x v="15"/>
    <x v="293"/>
    <x v="71"/>
    <x v="69"/>
    <x v="340"/>
    <x v="201"/>
    <x v="62"/>
    <x v="6"/>
  </r>
  <r>
    <x v="0"/>
    <x v="31"/>
    <x v="31"/>
    <x v="28"/>
    <x v="28"/>
    <x v="28"/>
    <x v="16"/>
    <x v="124"/>
    <x v="405"/>
    <x v="79"/>
    <x v="224"/>
    <x v="108"/>
    <x v="390"/>
    <x v="6"/>
  </r>
  <r>
    <x v="0"/>
    <x v="31"/>
    <x v="31"/>
    <x v="17"/>
    <x v="17"/>
    <x v="17"/>
    <x v="17"/>
    <x v="52"/>
    <x v="406"/>
    <x v="71"/>
    <x v="208"/>
    <x v="73"/>
    <x v="18"/>
    <x v="3"/>
  </r>
  <r>
    <x v="0"/>
    <x v="31"/>
    <x v="31"/>
    <x v="20"/>
    <x v="20"/>
    <x v="20"/>
    <x v="17"/>
    <x v="52"/>
    <x v="406"/>
    <x v="69"/>
    <x v="340"/>
    <x v="63"/>
    <x v="107"/>
    <x v="3"/>
  </r>
  <r>
    <x v="0"/>
    <x v="31"/>
    <x v="31"/>
    <x v="26"/>
    <x v="26"/>
    <x v="26"/>
    <x v="19"/>
    <x v="81"/>
    <x v="238"/>
    <x v="53"/>
    <x v="141"/>
    <x v="223"/>
    <x v="15"/>
    <x v="3"/>
  </r>
  <r>
    <x v="0"/>
    <x v="32"/>
    <x v="32"/>
    <x v="2"/>
    <x v="2"/>
    <x v="2"/>
    <x v="0"/>
    <x v="317"/>
    <x v="407"/>
    <x v="220"/>
    <x v="427"/>
    <x v="190"/>
    <x v="391"/>
    <x v="3"/>
  </r>
  <r>
    <x v="0"/>
    <x v="32"/>
    <x v="32"/>
    <x v="1"/>
    <x v="1"/>
    <x v="1"/>
    <x v="1"/>
    <x v="172"/>
    <x v="408"/>
    <x v="139"/>
    <x v="428"/>
    <x v="66"/>
    <x v="202"/>
    <x v="3"/>
  </r>
  <r>
    <x v="0"/>
    <x v="32"/>
    <x v="32"/>
    <x v="4"/>
    <x v="4"/>
    <x v="4"/>
    <x v="2"/>
    <x v="318"/>
    <x v="409"/>
    <x v="68"/>
    <x v="429"/>
    <x v="74"/>
    <x v="392"/>
    <x v="3"/>
  </r>
  <r>
    <x v="0"/>
    <x v="32"/>
    <x v="32"/>
    <x v="6"/>
    <x v="6"/>
    <x v="6"/>
    <x v="3"/>
    <x v="299"/>
    <x v="109"/>
    <x v="81"/>
    <x v="193"/>
    <x v="232"/>
    <x v="393"/>
    <x v="3"/>
  </r>
  <r>
    <x v="0"/>
    <x v="32"/>
    <x v="32"/>
    <x v="0"/>
    <x v="0"/>
    <x v="0"/>
    <x v="4"/>
    <x v="237"/>
    <x v="410"/>
    <x v="149"/>
    <x v="430"/>
    <x v="47"/>
    <x v="394"/>
    <x v="3"/>
  </r>
  <r>
    <x v="0"/>
    <x v="32"/>
    <x v="32"/>
    <x v="14"/>
    <x v="14"/>
    <x v="14"/>
    <x v="5"/>
    <x v="76"/>
    <x v="411"/>
    <x v="71"/>
    <x v="431"/>
    <x v="170"/>
    <x v="395"/>
    <x v="3"/>
  </r>
  <r>
    <x v="0"/>
    <x v="32"/>
    <x v="32"/>
    <x v="11"/>
    <x v="11"/>
    <x v="11"/>
    <x v="6"/>
    <x v="112"/>
    <x v="323"/>
    <x v="112"/>
    <x v="432"/>
    <x v="71"/>
    <x v="371"/>
    <x v="3"/>
  </r>
  <r>
    <x v="0"/>
    <x v="32"/>
    <x v="32"/>
    <x v="8"/>
    <x v="8"/>
    <x v="8"/>
    <x v="7"/>
    <x v="287"/>
    <x v="145"/>
    <x v="54"/>
    <x v="134"/>
    <x v="233"/>
    <x v="396"/>
    <x v="3"/>
  </r>
  <r>
    <x v="0"/>
    <x v="32"/>
    <x v="32"/>
    <x v="10"/>
    <x v="10"/>
    <x v="10"/>
    <x v="8"/>
    <x v="113"/>
    <x v="412"/>
    <x v="221"/>
    <x v="2"/>
    <x v="109"/>
    <x v="119"/>
    <x v="15"/>
  </r>
  <r>
    <x v="0"/>
    <x v="32"/>
    <x v="32"/>
    <x v="3"/>
    <x v="3"/>
    <x v="3"/>
    <x v="9"/>
    <x v="239"/>
    <x v="6"/>
    <x v="167"/>
    <x v="209"/>
    <x v="97"/>
    <x v="174"/>
    <x v="3"/>
  </r>
  <r>
    <x v="0"/>
    <x v="32"/>
    <x v="32"/>
    <x v="5"/>
    <x v="5"/>
    <x v="5"/>
    <x v="10"/>
    <x v="45"/>
    <x v="10"/>
    <x v="63"/>
    <x v="433"/>
    <x v="56"/>
    <x v="397"/>
    <x v="6"/>
  </r>
  <r>
    <x v="0"/>
    <x v="32"/>
    <x v="32"/>
    <x v="9"/>
    <x v="9"/>
    <x v="9"/>
    <x v="11"/>
    <x v="240"/>
    <x v="333"/>
    <x v="104"/>
    <x v="421"/>
    <x v="209"/>
    <x v="398"/>
    <x v="3"/>
  </r>
  <r>
    <x v="0"/>
    <x v="32"/>
    <x v="32"/>
    <x v="23"/>
    <x v="23"/>
    <x v="23"/>
    <x v="12"/>
    <x v="46"/>
    <x v="413"/>
    <x v="113"/>
    <x v="330"/>
    <x v="68"/>
    <x v="399"/>
    <x v="3"/>
  </r>
  <r>
    <x v="0"/>
    <x v="32"/>
    <x v="32"/>
    <x v="25"/>
    <x v="25"/>
    <x v="25"/>
    <x v="13"/>
    <x v="262"/>
    <x v="378"/>
    <x v="81"/>
    <x v="193"/>
    <x v="53"/>
    <x v="52"/>
    <x v="3"/>
  </r>
  <r>
    <x v="0"/>
    <x v="32"/>
    <x v="32"/>
    <x v="13"/>
    <x v="13"/>
    <x v="13"/>
    <x v="14"/>
    <x v="233"/>
    <x v="183"/>
    <x v="114"/>
    <x v="13"/>
    <x v="95"/>
    <x v="63"/>
    <x v="3"/>
  </r>
  <r>
    <x v="0"/>
    <x v="32"/>
    <x v="32"/>
    <x v="16"/>
    <x v="16"/>
    <x v="16"/>
    <x v="15"/>
    <x v="51"/>
    <x v="414"/>
    <x v="37"/>
    <x v="123"/>
    <x v="234"/>
    <x v="157"/>
    <x v="3"/>
  </r>
  <r>
    <x v="0"/>
    <x v="32"/>
    <x v="32"/>
    <x v="7"/>
    <x v="7"/>
    <x v="7"/>
    <x v="16"/>
    <x v="280"/>
    <x v="101"/>
    <x v="61"/>
    <x v="434"/>
    <x v="55"/>
    <x v="400"/>
    <x v="3"/>
  </r>
  <r>
    <x v="0"/>
    <x v="32"/>
    <x v="32"/>
    <x v="17"/>
    <x v="17"/>
    <x v="17"/>
    <x v="17"/>
    <x v="263"/>
    <x v="415"/>
    <x v="53"/>
    <x v="96"/>
    <x v="117"/>
    <x v="14"/>
    <x v="3"/>
  </r>
  <r>
    <x v="0"/>
    <x v="32"/>
    <x v="32"/>
    <x v="15"/>
    <x v="15"/>
    <x v="15"/>
    <x v="18"/>
    <x v="234"/>
    <x v="16"/>
    <x v="46"/>
    <x v="249"/>
    <x v="41"/>
    <x v="401"/>
    <x v="3"/>
  </r>
  <r>
    <x v="0"/>
    <x v="32"/>
    <x v="32"/>
    <x v="28"/>
    <x v="28"/>
    <x v="28"/>
    <x v="19"/>
    <x v="124"/>
    <x v="120"/>
    <x v="72"/>
    <x v="332"/>
    <x v="52"/>
    <x v="266"/>
    <x v="3"/>
  </r>
  <r>
    <x v="0"/>
    <x v="33"/>
    <x v="33"/>
    <x v="1"/>
    <x v="1"/>
    <x v="1"/>
    <x v="0"/>
    <x v="247"/>
    <x v="416"/>
    <x v="222"/>
    <x v="435"/>
    <x v="51"/>
    <x v="402"/>
    <x v="3"/>
  </r>
  <r>
    <x v="0"/>
    <x v="33"/>
    <x v="33"/>
    <x v="0"/>
    <x v="0"/>
    <x v="0"/>
    <x v="1"/>
    <x v="319"/>
    <x v="417"/>
    <x v="223"/>
    <x v="436"/>
    <x v="48"/>
    <x v="122"/>
    <x v="3"/>
  </r>
  <r>
    <x v="0"/>
    <x v="33"/>
    <x v="33"/>
    <x v="4"/>
    <x v="4"/>
    <x v="4"/>
    <x v="2"/>
    <x v="118"/>
    <x v="418"/>
    <x v="50"/>
    <x v="434"/>
    <x v="85"/>
    <x v="403"/>
    <x v="3"/>
  </r>
  <r>
    <x v="0"/>
    <x v="33"/>
    <x v="33"/>
    <x v="3"/>
    <x v="3"/>
    <x v="3"/>
    <x v="3"/>
    <x v="174"/>
    <x v="230"/>
    <x v="65"/>
    <x v="437"/>
    <x v="198"/>
    <x v="3"/>
    <x v="3"/>
  </r>
  <r>
    <x v="0"/>
    <x v="33"/>
    <x v="33"/>
    <x v="2"/>
    <x v="2"/>
    <x v="2"/>
    <x v="4"/>
    <x v="307"/>
    <x v="419"/>
    <x v="62"/>
    <x v="438"/>
    <x v="103"/>
    <x v="404"/>
    <x v="3"/>
  </r>
  <r>
    <x v="0"/>
    <x v="33"/>
    <x v="33"/>
    <x v="5"/>
    <x v="5"/>
    <x v="5"/>
    <x v="5"/>
    <x v="120"/>
    <x v="420"/>
    <x v="47"/>
    <x v="59"/>
    <x v="48"/>
    <x v="122"/>
    <x v="3"/>
  </r>
  <r>
    <x v="0"/>
    <x v="33"/>
    <x v="33"/>
    <x v="9"/>
    <x v="9"/>
    <x v="9"/>
    <x v="6"/>
    <x v="65"/>
    <x v="421"/>
    <x v="215"/>
    <x v="132"/>
    <x v="230"/>
    <x v="405"/>
    <x v="3"/>
  </r>
  <r>
    <x v="0"/>
    <x v="33"/>
    <x v="33"/>
    <x v="10"/>
    <x v="10"/>
    <x v="10"/>
    <x v="7"/>
    <x v="78"/>
    <x v="422"/>
    <x v="81"/>
    <x v="439"/>
    <x v="53"/>
    <x v="406"/>
    <x v="6"/>
  </r>
  <r>
    <x v="0"/>
    <x v="33"/>
    <x v="33"/>
    <x v="7"/>
    <x v="7"/>
    <x v="7"/>
    <x v="8"/>
    <x v="280"/>
    <x v="334"/>
    <x v="113"/>
    <x v="114"/>
    <x v="49"/>
    <x v="32"/>
    <x v="3"/>
  </r>
  <r>
    <x v="0"/>
    <x v="33"/>
    <x v="33"/>
    <x v="6"/>
    <x v="6"/>
    <x v="6"/>
    <x v="9"/>
    <x v="234"/>
    <x v="249"/>
    <x v="83"/>
    <x v="170"/>
    <x v="40"/>
    <x v="185"/>
    <x v="3"/>
  </r>
  <r>
    <x v="0"/>
    <x v="33"/>
    <x v="33"/>
    <x v="18"/>
    <x v="18"/>
    <x v="18"/>
    <x v="10"/>
    <x v="281"/>
    <x v="325"/>
    <x v="70"/>
    <x v="417"/>
    <x v="60"/>
    <x v="407"/>
    <x v="3"/>
  </r>
  <r>
    <x v="0"/>
    <x v="33"/>
    <x v="33"/>
    <x v="15"/>
    <x v="15"/>
    <x v="15"/>
    <x v="11"/>
    <x v="124"/>
    <x v="423"/>
    <x v="46"/>
    <x v="440"/>
    <x v="73"/>
    <x v="408"/>
    <x v="3"/>
  </r>
  <r>
    <x v="0"/>
    <x v="33"/>
    <x v="33"/>
    <x v="8"/>
    <x v="8"/>
    <x v="8"/>
    <x v="12"/>
    <x v="52"/>
    <x v="424"/>
    <x v="46"/>
    <x v="440"/>
    <x v="81"/>
    <x v="76"/>
    <x v="3"/>
  </r>
  <r>
    <x v="0"/>
    <x v="33"/>
    <x v="33"/>
    <x v="25"/>
    <x v="25"/>
    <x v="25"/>
    <x v="13"/>
    <x v="81"/>
    <x v="197"/>
    <x v="78"/>
    <x v="441"/>
    <x v="65"/>
    <x v="409"/>
    <x v="3"/>
  </r>
  <r>
    <x v="0"/>
    <x v="33"/>
    <x v="33"/>
    <x v="11"/>
    <x v="11"/>
    <x v="11"/>
    <x v="14"/>
    <x v="82"/>
    <x v="385"/>
    <x v="182"/>
    <x v="442"/>
    <x v="65"/>
    <x v="409"/>
    <x v="3"/>
  </r>
  <r>
    <x v="0"/>
    <x v="33"/>
    <x v="33"/>
    <x v="12"/>
    <x v="12"/>
    <x v="12"/>
    <x v="15"/>
    <x v="71"/>
    <x v="264"/>
    <x v="62"/>
    <x v="438"/>
    <x v="72"/>
    <x v="410"/>
    <x v="3"/>
  </r>
  <r>
    <x v="0"/>
    <x v="33"/>
    <x v="33"/>
    <x v="13"/>
    <x v="13"/>
    <x v="13"/>
    <x v="15"/>
    <x v="71"/>
    <x v="264"/>
    <x v="69"/>
    <x v="443"/>
    <x v="72"/>
    <x v="410"/>
    <x v="6"/>
  </r>
  <r>
    <x v="0"/>
    <x v="33"/>
    <x v="33"/>
    <x v="21"/>
    <x v="21"/>
    <x v="21"/>
    <x v="17"/>
    <x v="125"/>
    <x v="238"/>
    <x v="106"/>
    <x v="140"/>
    <x v="47"/>
    <x v="99"/>
    <x v="3"/>
  </r>
  <r>
    <x v="0"/>
    <x v="33"/>
    <x v="33"/>
    <x v="16"/>
    <x v="16"/>
    <x v="16"/>
    <x v="18"/>
    <x v="85"/>
    <x v="425"/>
    <x v="70"/>
    <x v="417"/>
    <x v="63"/>
    <x v="93"/>
    <x v="3"/>
  </r>
  <r>
    <x v="0"/>
    <x v="33"/>
    <x v="33"/>
    <x v="19"/>
    <x v="19"/>
    <x v="19"/>
    <x v="18"/>
    <x v="85"/>
    <x v="425"/>
    <x v="82"/>
    <x v="444"/>
    <x v="53"/>
    <x v="406"/>
    <x v="3"/>
  </r>
  <r>
    <x v="0"/>
    <x v="34"/>
    <x v="34"/>
    <x v="1"/>
    <x v="1"/>
    <x v="1"/>
    <x v="0"/>
    <x v="102"/>
    <x v="426"/>
    <x v="224"/>
    <x v="445"/>
    <x v="81"/>
    <x v="13"/>
    <x v="3"/>
  </r>
  <r>
    <x v="0"/>
    <x v="34"/>
    <x v="34"/>
    <x v="2"/>
    <x v="2"/>
    <x v="2"/>
    <x v="1"/>
    <x v="113"/>
    <x v="381"/>
    <x v="64"/>
    <x v="446"/>
    <x v="150"/>
    <x v="411"/>
    <x v="3"/>
  </r>
  <r>
    <x v="0"/>
    <x v="34"/>
    <x v="34"/>
    <x v="3"/>
    <x v="3"/>
    <x v="3"/>
    <x v="2"/>
    <x v="225"/>
    <x v="375"/>
    <x v="51"/>
    <x v="447"/>
    <x v="69"/>
    <x v="412"/>
    <x v="3"/>
  </r>
  <r>
    <x v="0"/>
    <x v="34"/>
    <x v="34"/>
    <x v="4"/>
    <x v="4"/>
    <x v="4"/>
    <x v="3"/>
    <x v="288"/>
    <x v="23"/>
    <x v="54"/>
    <x v="149"/>
    <x v="67"/>
    <x v="413"/>
    <x v="3"/>
  </r>
  <r>
    <x v="0"/>
    <x v="34"/>
    <x v="34"/>
    <x v="6"/>
    <x v="6"/>
    <x v="6"/>
    <x v="4"/>
    <x v="122"/>
    <x v="312"/>
    <x v="91"/>
    <x v="77"/>
    <x v="118"/>
    <x v="414"/>
    <x v="3"/>
  </r>
  <r>
    <x v="0"/>
    <x v="34"/>
    <x v="34"/>
    <x v="5"/>
    <x v="5"/>
    <x v="5"/>
    <x v="5"/>
    <x v="312"/>
    <x v="427"/>
    <x v="51"/>
    <x v="447"/>
    <x v="51"/>
    <x v="240"/>
    <x v="6"/>
  </r>
  <r>
    <x v="0"/>
    <x v="34"/>
    <x v="34"/>
    <x v="0"/>
    <x v="0"/>
    <x v="0"/>
    <x v="6"/>
    <x v="50"/>
    <x v="428"/>
    <x v="181"/>
    <x v="448"/>
    <x v="72"/>
    <x v="74"/>
    <x v="3"/>
  </r>
  <r>
    <x v="0"/>
    <x v="34"/>
    <x v="34"/>
    <x v="11"/>
    <x v="11"/>
    <x v="11"/>
    <x v="7"/>
    <x v="233"/>
    <x v="429"/>
    <x v="45"/>
    <x v="449"/>
    <x v="54"/>
    <x v="415"/>
    <x v="3"/>
  </r>
  <r>
    <x v="0"/>
    <x v="34"/>
    <x v="34"/>
    <x v="8"/>
    <x v="8"/>
    <x v="8"/>
    <x v="8"/>
    <x v="67"/>
    <x v="430"/>
    <x v="46"/>
    <x v="408"/>
    <x v="117"/>
    <x v="416"/>
    <x v="3"/>
  </r>
  <r>
    <x v="0"/>
    <x v="34"/>
    <x v="34"/>
    <x v="10"/>
    <x v="10"/>
    <x v="10"/>
    <x v="9"/>
    <x v="69"/>
    <x v="431"/>
    <x v="80"/>
    <x v="9"/>
    <x v="107"/>
    <x v="301"/>
    <x v="8"/>
  </r>
  <r>
    <x v="0"/>
    <x v="34"/>
    <x v="34"/>
    <x v="9"/>
    <x v="9"/>
    <x v="9"/>
    <x v="10"/>
    <x v="293"/>
    <x v="206"/>
    <x v="66"/>
    <x v="179"/>
    <x v="210"/>
    <x v="417"/>
    <x v="3"/>
  </r>
  <r>
    <x v="0"/>
    <x v="34"/>
    <x v="34"/>
    <x v="13"/>
    <x v="13"/>
    <x v="13"/>
    <x v="11"/>
    <x v="281"/>
    <x v="207"/>
    <x v="106"/>
    <x v="450"/>
    <x v="81"/>
    <x v="13"/>
    <x v="3"/>
  </r>
  <r>
    <x v="0"/>
    <x v="34"/>
    <x v="34"/>
    <x v="7"/>
    <x v="7"/>
    <x v="7"/>
    <x v="12"/>
    <x v="82"/>
    <x v="432"/>
    <x v="69"/>
    <x v="451"/>
    <x v="227"/>
    <x v="332"/>
    <x v="3"/>
  </r>
  <r>
    <x v="0"/>
    <x v="34"/>
    <x v="34"/>
    <x v="18"/>
    <x v="18"/>
    <x v="18"/>
    <x v="13"/>
    <x v="55"/>
    <x v="99"/>
    <x v="56"/>
    <x v="55"/>
    <x v="73"/>
    <x v="95"/>
    <x v="3"/>
  </r>
  <r>
    <x v="0"/>
    <x v="34"/>
    <x v="34"/>
    <x v="16"/>
    <x v="16"/>
    <x v="16"/>
    <x v="14"/>
    <x v="71"/>
    <x v="433"/>
    <x v="70"/>
    <x v="175"/>
    <x v="81"/>
    <x v="13"/>
    <x v="3"/>
  </r>
  <r>
    <x v="0"/>
    <x v="34"/>
    <x v="34"/>
    <x v="12"/>
    <x v="12"/>
    <x v="12"/>
    <x v="14"/>
    <x v="71"/>
    <x v="433"/>
    <x v="54"/>
    <x v="149"/>
    <x v="48"/>
    <x v="205"/>
    <x v="3"/>
  </r>
  <r>
    <x v="0"/>
    <x v="34"/>
    <x v="34"/>
    <x v="14"/>
    <x v="14"/>
    <x v="14"/>
    <x v="16"/>
    <x v="72"/>
    <x v="434"/>
    <x v="53"/>
    <x v="104"/>
    <x v="49"/>
    <x v="226"/>
    <x v="3"/>
  </r>
  <r>
    <x v="0"/>
    <x v="34"/>
    <x v="34"/>
    <x v="19"/>
    <x v="19"/>
    <x v="19"/>
    <x v="17"/>
    <x v="125"/>
    <x v="223"/>
    <x v="82"/>
    <x v="96"/>
    <x v="54"/>
    <x v="415"/>
    <x v="3"/>
  </r>
  <r>
    <x v="0"/>
    <x v="34"/>
    <x v="34"/>
    <x v="15"/>
    <x v="15"/>
    <x v="15"/>
    <x v="18"/>
    <x v="282"/>
    <x v="306"/>
    <x v="46"/>
    <x v="408"/>
    <x v="227"/>
    <x v="332"/>
    <x v="3"/>
  </r>
  <r>
    <x v="0"/>
    <x v="34"/>
    <x v="34"/>
    <x v="25"/>
    <x v="25"/>
    <x v="25"/>
    <x v="19"/>
    <x v="294"/>
    <x v="37"/>
    <x v="54"/>
    <x v="149"/>
    <x v="230"/>
    <x v="346"/>
    <x v="3"/>
  </r>
  <r>
    <x v="0"/>
    <x v="35"/>
    <x v="35"/>
    <x v="1"/>
    <x v="1"/>
    <x v="1"/>
    <x v="0"/>
    <x v="101"/>
    <x v="435"/>
    <x v="95"/>
    <x v="452"/>
    <x v="57"/>
    <x v="418"/>
    <x v="3"/>
  </r>
  <r>
    <x v="0"/>
    <x v="35"/>
    <x v="35"/>
    <x v="0"/>
    <x v="0"/>
    <x v="0"/>
    <x v="1"/>
    <x v="174"/>
    <x v="22"/>
    <x v="209"/>
    <x v="453"/>
    <x v="57"/>
    <x v="418"/>
    <x v="3"/>
  </r>
  <r>
    <x v="0"/>
    <x v="35"/>
    <x v="35"/>
    <x v="4"/>
    <x v="4"/>
    <x v="4"/>
    <x v="2"/>
    <x v="119"/>
    <x v="436"/>
    <x v="68"/>
    <x v="454"/>
    <x v="67"/>
    <x v="419"/>
    <x v="3"/>
  </r>
  <r>
    <x v="0"/>
    <x v="35"/>
    <x v="35"/>
    <x v="2"/>
    <x v="2"/>
    <x v="2"/>
    <x v="3"/>
    <x v="50"/>
    <x v="437"/>
    <x v="81"/>
    <x v="455"/>
    <x v="81"/>
    <x v="420"/>
    <x v="3"/>
  </r>
  <r>
    <x v="0"/>
    <x v="35"/>
    <x v="35"/>
    <x v="3"/>
    <x v="3"/>
    <x v="3"/>
    <x v="4"/>
    <x v="254"/>
    <x v="438"/>
    <x v="34"/>
    <x v="293"/>
    <x v="56"/>
    <x v="421"/>
    <x v="3"/>
  </r>
  <r>
    <x v="0"/>
    <x v="35"/>
    <x v="35"/>
    <x v="11"/>
    <x v="11"/>
    <x v="11"/>
    <x v="5"/>
    <x v="114"/>
    <x v="439"/>
    <x v="34"/>
    <x v="293"/>
    <x v="55"/>
    <x v="422"/>
    <x v="3"/>
  </r>
  <r>
    <x v="0"/>
    <x v="35"/>
    <x v="35"/>
    <x v="6"/>
    <x v="6"/>
    <x v="6"/>
    <x v="6"/>
    <x v="79"/>
    <x v="440"/>
    <x v="78"/>
    <x v="456"/>
    <x v="40"/>
    <x v="167"/>
    <x v="3"/>
  </r>
  <r>
    <x v="0"/>
    <x v="35"/>
    <x v="35"/>
    <x v="9"/>
    <x v="9"/>
    <x v="9"/>
    <x v="7"/>
    <x v="67"/>
    <x v="441"/>
    <x v="147"/>
    <x v="457"/>
    <x v="65"/>
    <x v="244"/>
    <x v="3"/>
  </r>
  <r>
    <x v="0"/>
    <x v="35"/>
    <x v="35"/>
    <x v="10"/>
    <x v="10"/>
    <x v="10"/>
    <x v="8"/>
    <x v="68"/>
    <x v="383"/>
    <x v="66"/>
    <x v="252"/>
    <x v="107"/>
    <x v="423"/>
    <x v="3"/>
  </r>
  <r>
    <x v="0"/>
    <x v="35"/>
    <x v="35"/>
    <x v="8"/>
    <x v="8"/>
    <x v="8"/>
    <x v="9"/>
    <x v="69"/>
    <x v="442"/>
    <x v="84"/>
    <x v="68"/>
    <x v="108"/>
    <x v="424"/>
    <x v="3"/>
  </r>
  <r>
    <x v="0"/>
    <x v="35"/>
    <x v="35"/>
    <x v="5"/>
    <x v="5"/>
    <x v="5"/>
    <x v="10"/>
    <x v="264"/>
    <x v="273"/>
    <x v="52"/>
    <x v="458"/>
    <x v="205"/>
    <x v="93"/>
    <x v="3"/>
  </r>
  <r>
    <x v="0"/>
    <x v="35"/>
    <x v="35"/>
    <x v="7"/>
    <x v="7"/>
    <x v="7"/>
    <x v="11"/>
    <x v="81"/>
    <x v="314"/>
    <x v="69"/>
    <x v="32"/>
    <x v="109"/>
    <x v="157"/>
    <x v="3"/>
  </r>
  <r>
    <x v="0"/>
    <x v="35"/>
    <x v="35"/>
    <x v="21"/>
    <x v="21"/>
    <x v="21"/>
    <x v="12"/>
    <x v="82"/>
    <x v="325"/>
    <x v="79"/>
    <x v="71"/>
    <x v="56"/>
    <x v="421"/>
    <x v="3"/>
  </r>
  <r>
    <x v="0"/>
    <x v="35"/>
    <x v="35"/>
    <x v="17"/>
    <x v="17"/>
    <x v="17"/>
    <x v="13"/>
    <x v="83"/>
    <x v="69"/>
    <x v="37"/>
    <x v="222"/>
    <x v="63"/>
    <x v="425"/>
    <x v="3"/>
  </r>
  <r>
    <x v="0"/>
    <x v="35"/>
    <x v="35"/>
    <x v="14"/>
    <x v="14"/>
    <x v="14"/>
    <x v="14"/>
    <x v="125"/>
    <x v="85"/>
    <x v="56"/>
    <x v="55"/>
    <x v="40"/>
    <x v="167"/>
    <x v="3"/>
  </r>
  <r>
    <x v="0"/>
    <x v="35"/>
    <x v="35"/>
    <x v="13"/>
    <x v="13"/>
    <x v="13"/>
    <x v="15"/>
    <x v="282"/>
    <x v="101"/>
    <x v="46"/>
    <x v="140"/>
    <x v="227"/>
    <x v="159"/>
    <x v="3"/>
  </r>
  <r>
    <x v="0"/>
    <x v="35"/>
    <x v="35"/>
    <x v="25"/>
    <x v="25"/>
    <x v="25"/>
    <x v="15"/>
    <x v="282"/>
    <x v="101"/>
    <x v="69"/>
    <x v="32"/>
    <x v="65"/>
    <x v="244"/>
    <x v="3"/>
  </r>
  <r>
    <x v="0"/>
    <x v="35"/>
    <x v="35"/>
    <x v="20"/>
    <x v="20"/>
    <x v="20"/>
    <x v="17"/>
    <x v="85"/>
    <x v="169"/>
    <x v="55"/>
    <x v="375"/>
    <x v="209"/>
    <x v="74"/>
    <x v="3"/>
  </r>
  <r>
    <x v="0"/>
    <x v="35"/>
    <x v="35"/>
    <x v="16"/>
    <x v="16"/>
    <x v="16"/>
    <x v="18"/>
    <x v="303"/>
    <x v="87"/>
    <x v="56"/>
    <x v="55"/>
    <x v="53"/>
    <x v="339"/>
    <x v="3"/>
  </r>
  <r>
    <x v="0"/>
    <x v="35"/>
    <x v="35"/>
    <x v="15"/>
    <x v="15"/>
    <x v="15"/>
    <x v="18"/>
    <x v="303"/>
    <x v="87"/>
    <x v="84"/>
    <x v="68"/>
    <x v="209"/>
    <x v="74"/>
    <x v="3"/>
  </r>
  <r>
    <x v="0"/>
    <x v="35"/>
    <x v="35"/>
    <x v="19"/>
    <x v="19"/>
    <x v="19"/>
    <x v="18"/>
    <x v="303"/>
    <x v="87"/>
    <x v="82"/>
    <x v="14"/>
    <x v="205"/>
    <x v="93"/>
    <x v="3"/>
  </r>
  <r>
    <x v="0"/>
    <x v="36"/>
    <x v="36"/>
    <x v="1"/>
    <x v="1"/>
    <x v="1"/>
    <x v="0"/>
    <x v="99"/>
    <x v="443"/>
    <x v="124"/>
    <x v="459"/>
    <x v="223"/>
    <x v="426"/>
    <x v="3"/>
  </r>
  <r>
    <x v="0"/>
    <x v="36"/>
    <x v="36"/>
    <x v="0"/>
    <x v="0"/>
    <x v="0"/>
    <x v="1"/>
    <x v="100"/>
    <x v="444"/>
    <x v="103"/>
    <x v="460"/>
    <x v="227"/>
    <x v="123"/>
    <x v="3"/>
  </r>
  <r>
    <x v="0"/>
    <x v="36"/>
    <x v="36"/>
    <x v="4"/>
    <x v="4"/>
    <x v="4"/>
    <x v="2"/>
    <x v="103"/>
    <x v="445"/>
    <x v="68"/>
    <x v="395"/>
    <x v="233"/>
    <x v="427"/>
    <x v="3"/>
  </r>
  <r>
    <x v="0"/>
    <x v="36"/>
    <x v="36"/>
    <x v="5"/>
    <x v="5"/>
    <x v="5"/>
    <x v="3"/>
    <x v="122"/>
    <x v="446"/>
    <x v="174"/>
    <x v="461"/>
    <x v="109"/>
    <x v="425"/>
    <x v="3"/>
  </r>
  <r>
    <x v="0"/>
    <x v="36"/>
    <x v="36"/>
    <x v="3"/>
    <x v="3"/>
    <x v="3"/>
    <x v="4"/>
    <x v="48"/>
    <x v="447"/>
    <x v="34"/>
    <x v="462"/>
    <x v="52"/>
    <x v="428"/>
    <x v="3"/>
  </r>
  <r>
    <x v="0"/>
    <x v="36"/>
    <x v="36"/>
    <x v="9"/>
    <x v="9"/>
    <x v="9"/>
    <x v="5"/>
    <x v="77"/>
    <x v="448"/>
    <x v="174"/>
    <x v="461"/>
    <x v="225"/>
    <x v="417"/>
    <x v="3"/>
  </r>
  <r>
    <x v="0"/>
    <x v="36"/>
    <x v="36"/>
    <x v="10"/>
    <x v="10"/>
    <x v="10"/>
    <x v="6"/>
    <x v="233"/>
    <x v="449"/>
    <x v="98"/>
    <x v="463"/>
    <x v="209"/>
    <x v="423"/>
    <x v="3"/>
  </r>
  <r>
    <x v="0"/>
    <x v="36"/>
    <x v="36"/>
    <x v="8"/>
    <x v="8"/>
    <x v="8"/>
    <x v="7"/>
    <x v="80"/>
    <x v="324"/>
    <x v="64"/>
    <x v="82"/>
    <x v="81"/>
    <x v="429"/>
    <x v="3"/>
  </r>
  <r>
    <x v="0"/>
    <x v="36"/>
    <x v="36"/>
    <x v="2"/>
    <x v="2"/>
    <x v="2"/>
    <x v="8"/>
    <x v="68"/>
    <x v="95"/>
    <x v="84"/>
    <x v="180"/>
    <x v="104"/>
    <x v="430"/>
    <x v="6"/>
  </r>
  <r>
    <x v="0"/>
    <x v="36"/>
    <x v="36"/>
    <x v="12"/>
    <x v="12"/>
    <x v="12"/>
    <x v="9"/>
    <x v="69"/>
    <x v="65"/>
    <x v="84"/>
    <x v="180"/>
    <x v="108"/>
    <x v="431"/>
    <x v="3"/>
  </r>
  <r>
    <x v="0"/>
    <x v="36"/>
    <x v="36"/>
    <x v="7"/>
    <x v="7"/>
    <x v="7"/>
    <x v="9"/>
    <x v="69"/>
    <x v="65"/>
    <x v="67"/>
    <x v="464"/>
    <x v="227"/>
    <x v="123"/>
    <x v="3"/>
  </r>
  <r>
    <x v="0"/>
    <x v="36"/>
    <x v="36"/>
    <x v="11"/>
    <x v="11"/>
    <x v="11"/>
    <x v="11"/>
    <x v="81"/>
    <x v="84"/>
    <x v="68"/>
    <x v="395"/>
    <x v="72"/>
    <x v="77"/>
    <x v="3"/>
  </r>
  <r>
    <x v="0"/>
    <x v="36"/>
    <x v="36"/>
    <x v="6"/>
    <x v="6"/>
    <x v="6"/>
    <x v="12"/>
    <x v="82"/>
    <x v="220"/>
    <x v="83"/>
    <x v="291"/>
    <x v="72"/>
    <x v="77"/>
    <x v="3"/>
  </r>
  <r>
    <x v="0"/>
    <x v="36"/>
    <x v="36"/>
    <x v="15"/>
    <x v="15"/>
    <x v="15"/>
    <x v="13"/>
    <x v="71"/>
    <x v="99"/>
    <x v="53"/>
    <x v="199"/>
    <x v="40"/>
    <x v="432"/>
    <x v="3"/>
  </r>
  <r>
    <x v="0"/>
    <x v="36"/>
    <x v="36"/>
    <x v="25"/>
    <x v="25"/>
    <x v="25"/>
    <x v="14"/>
    <x v="84"/>
    <x v="32"/>
    <x v="50"/>
    <x v="67"/>
    <x v="222"/>
    <x v="405"/>
    <x v="3"/>
  </r>
  <r>
    <x v="0"/>
    <x v="36"/>
    <x v="36"/>
    <x v="13"/>
    <x v="13"/>
    <x v="13"/>
    <x v="15"/>
    <x v="85"/>
    <x v="33"/>
    <x v="84"/>
    <x v="180"/>
    <x v="72"/>
    <x v="77"/>
    <x v="3"/>
  </r>
  <r>
    <x v="0"/>
    <x v="36"/>
    <x v="36"/>
    <x v="20"/>
    <x v="20"/>
    <x v="20"/>
    <x v="16"/>
    <x v="303"/>
    <x v="238"/>
    <x v="46"/>
    <x v="465"/>
    <x v="107"/>
    <x v="272"/>
    <x v="3"/>
  </r>
  <r>
    <x v="0"/>
    <x v="36"/>
    <x v="36"/>
    <x v="29"/>
    <x v="29"/>
    <x v="29"/>
    <x v="17"/>
    <x v="294"/>
    <x v="36"/>
    <x v="55"/>
    <x v="133"/>
    <x v="65"/>
    <x v="318"/>
    <x v="3"/>
  </r>
  <r>
    <x v="0"/>
    <x v="36"/>
    <x v="36"/>
    <x v="18"/>
    <x v="18"/>
    <x v="18"/>
    <x v="17"/>
    <x v="294"/>
    <x v="36"/>
    <x v="70"/>
    <x v="466"/>
    <x v="48"/>
    <x v="350"/>
    <x v="3"/>
  </r>
  <r>
    <x v="0"/>
    <x v="36"/>
    <x v="36"/>
    <x v="28"/>
    <x v="28"/>
    <x v="28"/>
    <x v="19"/>
    <x v="304"/>
    <x v="307"/>
    <x v="53"/>
    <x v="199"/>
    <x v="47"/>
    <x v="171"/>
    <x v="3"/>
  </r>
  <r>
    <x v="0"/>
    <x v="37"/>
    <x v="37"/>
    <x v="0"/>
    <x v="0"/>
    <x v="0"/>
    <x v="0"/>
    <x v="113"/>
    <x v="450"/>
    <x v="60"/>
    <x v="467"/>
    <x v="65"/>
    <x v="47"/>
    <x v="6"/>
  </r>
  <r>
    <x v="0"/>
    <x v="37"/>
    <x v="37"/>
    <x v="3"/>
    <x v="3"/>
    <x v="3"/>
    <x v="1"/>
    <x v="240"/>
    <x v="451"/>
    <x v="49"/>
    <x v="468"/>
    <x v="51"/>
    <x v="433"/>
    <x v="3"/>
  </r>
  <r>
    <x v="0"/>
    <x v="37"/>
    <x v="37"/>
    <x v="1"/>
    <x v="1"/>
    <x v="1"/>
    <x v="2"/>
    <x v="121"/>
    <x v="452"/>
    <x v="39"/>
    <x v="469"/>
    <x v="210"/>
    <x v="64"/>
    <x v="3"/>
  </r>
  <r>
    <x v="0"/>
    <x v="37"/>
    <x v="37"/>
    <x v="4"/>
    <x v="4"/>
    <x v="4"/>
    <x v="3"/>
    <x v="114"/>
    <x v="453"/>
    <x v="83"/>
    <x v="229"/>
    <x v="117"/>
    <x v="434"/>
    <x v="3"/>
  </r>
  <r>
    <x v="0"/>
    <x v="37"/>
    <x v="37"/>
    <x v="5"/>
    <x v="5"/>
    <x v="5"/>
    <x v="4"/>
    <x v="51"/>
    <x v="346"/>
    <x v="147"/>
    <x v="470"/>
    <x v="225"/>
    <x v="418"/>
    <x v="3"/>
  </r>
  <r>
    <x v="0"/>
    <x v="37"/>
    <x v="37"/>
    <x v="6"/>
    <x v="6"/>
    <x v="6"/>
    <x v="5"/>
    <x v="52"/>
    <x v="454"/>
    <x v="182"/>
    <x v="471"/>
    <x v="47"/>
    <x v="435"/>
    <x v="3"/>
  </r>
  <r>
    <x v="0"/>
    <x v="37"/>
    <x v="37"/>
    <x v="11"/>
    <x v="11"/>
    <x v="11"/>
    <x v="6"/>
    <x v="241"/>
    <x v="455"/>
    <x v="113"/>
    <x v="95"/>
    <x v="209"/>
    <x v="436"/>
    <x v="3"/>
  </r>
  <r>
    <x v="0"/>
    <x v="37"/>
    <x v="37"/>
    <x v="34"/>
    <x v="34"/>
    <x v="34"/>
    <x v="7"/>
    <x v="85"/>
    <x v="456"/>
    <x v="55"/>
    <x v="472"/>
    <x v="107"/>
    <x v="408"/>
    <x v="3"/>
  </r>
  <r>
    <x v="0"/>
    <x v="37"/>
    <x v="37"/>
    <x v="12"/>
    <x v="12"/>
    <x v="12"/>
    <x v="7"/>
    <x v="85"/>
    <x v="456"/>
    <x v="91"/>
    <x v="442"/>
    <x v="65"/>
    <x v="47"/>
    <x v="3"/>
  </r>
  <r>
    <x v="0"/>
    <x v="37"/>
    <x v="37"/>
    <x v="10"/>
    <x v="10"/>
    <x v="10"/>
    <x v="9"/>
    <x v="126"/>
    <x v="164"/>
    <x v="54"/>
    <x v="330"/>
    <x v="229"/>
    <x v="285"/>
    <x v="6"/>
  </r>
  <r>
    <x v="0"/>
    <x v="37"/>
    <x v="37"/>
    <x v="8"/>
    <x v="8"/>
    <x v="8"/>
    <x v="10"/>
    <x v="294"/>
    <x v="100"/>
    <x v="37"/>
    <x v="134"/>
    <x v="72"/>
    <x v="437"/>
    <x v="3"/>
  </r>
  <r>
    <x v="0"/>
    <x v="37"/>
    <x v="37"/>
    <x v="25"/>
    <x v="25"/>
    <x v="25"/>
    <x v="10"/>
    <x v="294"/>
    <x v="100"/>
    <x v="114"/>
    <x v="303"/>
    <x v="228"/>
    <x v="70"/>
    <x v="3"/>
  </r>
  <r>
    <x v="0"/>
    <x v="37"/>
    <x v="37"/>
    <x v="7"/>
    <x v="7"/>
    <x v="7"/>
    <x v="12"/>
    <x v="304"/>
    <x v="196"/>
    <x v="106"/>
    <x v="315"/>
    <x v="230"/>
    <x v="438"/>
    <x v="3"/>
  </r>
  <r>
    <x v="0"/>
    <x v="37"/>
    <x v="37"/>
    <x v="9"/>
    <x v="9"/>
    <x v="9"/>
    <x v="12"/>
    <x v="304"/>
    <x v="196"/>
    <x v="54"/>
    <x v="330"/>
    <x v="222"/>
    <x v="44"/>
    <x v="3"/>
  </r>
  <r>
    <x v="0"/>
    <x v="37"/>
    <x v="37"/>
    <x v="2"/>
    <x v="2"/>
    <x v="2"/>
    <x v="14"/>
    <x v="295"/>
    <x v="404"/>
    <x v="79"/>
    <x v="199"/>
    <x v="47"/>
    <x v="435"/>
    <x v="3"/>
  </r>
  <r>
    <x v="0"/>
    <x v="37"/>
    <x v="37"/>
    <x v="37"/>
    <x v="37"/>
    <x v="37"/>
    <x v="15"/>
    <x v="308"/>
    <x v="151"/>
    <x v="46"/>
    <x v="408"/>
    <x v="230"/>
    <x v="438"/>
    <x v="3"/>
  </r>
  <r>
    <x v="0"/>
    <x v="37"/>
    <x v="37"/>
    <x v="15"/>
    <x v="15"/>
    <x v="15"/>
    <x v="15"/>
    <x v="308"/>
    <x v="151"/>
    <x v="53"/>
    <x v="249"/>
    <x v="209"/>
    <x v="436"/>
    <x v="3"/>
  </r>
  <r>
    <x v="0"/>
    <x v="37"/>
    <x v="37"/>
    <x v="13"/>
    <x v="13"/>
    <x v="13"/>
    <x v="17"/>
    <x v="309"/>
    <x v="17"/>
    <x v="71"/>
    <x v="13"/>
    <x v="228"/>
    <x v="70"/>
    <x v="3"/>
  </r>
  <r>
    <x v="0"/>
    <x v="37"/>
    <x v="37"/>
    <x v="16"/>
    <x v="16"/>
    <x v="16"/>
    <x v="18"/>
    <x v="320"/>
    <x v="296"/>
    <x v="72"/>
    <x v="26"/>
    <x v="230"/>
    <x v="438"/>
    <x v="3"/>
  </r>
  <r>
    <x v="0"/>
    <x v="37"/>
    <x v="37"/>
    <x v="32"/>
    <x v="32"/>
    <x v="32"/>
    <x v="19"/>
    <x v="321"/>
    <x v="457"/>
    <x v="37"/>
    <x v="134"/>
    <x v="229"/>
    <x v="285"/>
    <x v="3"/>
  </r>
  <r>
    <x v="0"/>
    <x v="37"/>
    <x v="37"/>
    <x v="38"/>
    <x v="38"/>
    <x v="38"/>
    <x v="19"/>
    <x v="321"/>
    <x v="457"/>
    <x v="71"/>
    <x v="13"/>
    <x v="235"/>
    <x v="439"/>
    <x v="3"/>
  </r>
  <r>
    <x v="0"/>
    <x v="37"/>
    <x v="37"/>
    <x v="23"/>
    <x v="23"/>
    <x v="23"/>
    <x v="19"/>
    <x v="321"/>
    <x v="457"/>
    <x v="37"/>
    <x v="134"/>
    <x v="229"/>
    <x v="285"/>
    <x v="3"/>
  </r>
  <r>
    <x v="0"/>
    <x v="37"/>
    <x v="37"/>
    <x v="17"/>
    <x v="17"/>
    <x v="17"/>
    <x v="19"/>
    <x v="321"/>
    <x v="457"/>
    <x v="53"/>
    <x v="249"/>
    <x v="222"/>
    <x v="44"/>
    <x v="3"/>
  </r>
  <r>
    <x v="0"/>
    <x v="37"/>
    <x v="37"/>
    <x v="14"/>
    <x v="14"/>
    <x v="14"/>
    <x v="19"/>
    <x v="321"/>
    <x v="457"/>
    <x v="79"/>
    <x v="199"/>
    <x v="230"/>
    <x v="438"/>
    <x v="3"/>
  </r>
  <r>
    <x v="0"/>
    <x v="38"/>
    <x v="38"/>
    <x v="1"/>
    <x v="1"/>
    <x v="1"/>
    <x v="0"/>
    <x v="253"/>
    <x v="458"/>
    <x v="77"/>
    <x v="473"/>
    <x v="210"/>
    <x v="37"/>
    <x v="3"/>
  </r>
  <r>
    <x v="0"/>
    <x v="38"/>
    <x v="38"/>
    <x v="4"/>
    <x v="4"/>
    <x v="4"/>
    <x v="1"/>
    <x v="233"/>
    <x v="459"/>
    <x v="106"/>
    <x v="474"/>
    <x v="101"/>
    <x v="440"/>
    <x v="3"/>
  </r>
  <r>
    <x v="0"/>
    <x v="38"/>
    <x v="38"/>
    <x v="3"/>
    <x v="3"/>
    <x v="3"/>
    <x v="2"/>
    <x v="264"/>
    <x v="460"/>
    <x v="69"/>
    <x v="475"/>
    <x v="55"/>
    <x v="411"/>
    <x v="3"/>
  </r>
  <r>
    <x v="0"/>
    <x v="38"/>
    <x v="38"/>
    <x v="0"/>
    <x v="0"/>
    <x v="0"/>
    <x v="3"/>
    <x v="281"/>
    <x v="228"/>
    <x v="121"/>
    <x v="476"/>
    <x v="210"/>
    <x v="37"/>
    <x v="3"/>
  </r>
  <r>
    <x v="0"/>
    <x v="38"/>
    <x v="38"/>
    <x v="5"/>
    <x v="5"/>
    <x v="5"/>
    <x v="4"/>
    <x v="81"/>
    <x v="461"/>
    <x v="68"/>
    <x v="309"/>
    <x v="72"/>
    <x v="254"/>
    <x v="3"/>
  </r>
  <r>
    <x v="0"/>
    <x v="38"/>
    <x v="38"/>
    <x v="11"/>
    <x v="11"/>
    <x v="11"/>
    <x v="5"/>
    <x v="72"/>
    <x v="350"/>
    <x v="114"/>
    <x v="219"/>
    <x v="107"/>
    <x v="441"/>
    <x v="3"/>
  </r>
  <r>
    <x v="0"/>
    <x v="38"/>
    <x v="38"/>
    <x v="8"/>
    <x v="8"/>
    <x v="8"/>
    <x v="6"/>
    <x v="125"/>
    <x v="462"/>
    <x v="53"/>
    <x v="247"/>
    <x v="63"/>
    <x v="442"/>
    <x v="3"/>
  </r>
  <r>
    <x v="0"/>
    <x v="38"/>
    <x v="38"/>
    <x v="6"/>
    <x v="6"/>
    <x v="6"/>
    <x v="7"/>
    <x v="85"/>
    <x v="463"/>
    <x v="46"/>
    <x v="477"/>
    <x v="47"/>
    <x v="325"/>
    <x v="3"/>
  </r>
  <r>
    <x v="0"/>
    <x v="38"/>
    <x v="38"/>
    <x v="2"/>
    <x v="2"/>
    <x v="2"/>
    <x v="8"/>
    <x v="126"/>
    <x v="95"/>
    <x v="72"/>
    <x v="438"/>
    <x v="227"/>
    <x v="443"/>
    <x v="3"/>
  </r>
  <r>
    <x v="0"/>
    <x v="38"/>
    <x v="38"/>
    <x v="18"/>
    <x v="18"/>
    <x v="18"/>
    <x v="9"/>
    <x v="295"/>
    <x v="147"/>
    <x v="56"/>
    <x v="55"/>
    <x v="107"/>
    <x v="441"/>
    <x v="3"/>
  </r>
  <r>
    <x v="0"/>
    <x v="38"/>
    <x v="38"/>
    <x v="9"/>
    <x v="9"/>
    <x v="9"/>
    <x v="10"/>
    <x v="308"/>
    <x v="351"/>
    <x v="54"/>
    <x v="478"/>
    <x v="235"/>
    <x v="439"/>
    <x v="3"/>
  </r>
  <r>
    <x v="0"/>
    <x v="38"/>
    <x v="38"/>
    <x v="25"/>
    <x v="25"/>
    <x v="25"/>
    <x v="10"/>
    <x v="308"/>
    <x v="351"/>
    <x v="55"/>
    <x v="479"/>
    <x v="228"/>
    <x v="291"/>
    <x v="3"/>
  </r>
  <r>
    <x v="0"/>
    <x v="38"/>
    <x v="38"/>
    <x v="13"/>
    <x v="13"/>
    <x v="13"/>
    <x v="12"/>
    <x v="320"/>
    <x v="415"/>
    <x v="72"/>
    <x v="438"/>
    <x v="222"/>
    <x v="444"/>
    <x v="3"/>
  </r>
  <r>
    <x v="0"/>
    <x v="38"/>
    <x v="38"/>
    <x v="20"/>
    <x v="20"/>
    <x v="20"/>
    <x v="12"/>
    <x v="320"/>
    <x v="415"/>
    <x v="79"/>
    <x v="480"/>
    <x v="65"/>
    <x v="305"/>
    <x v="3"/>
  </r>
  <r>
    <x v="0"/>
    <x v="38"/>
    <x v="38"/>
    <x v="10"/>
    <x v="10"/>
    <x v="10"/>
    <x v="12"/>
    <x v="320"/>
    <x v="415"/>
    <x v="72"/>
    <x v="438"/>
    <x v="228"/>
    <x v="291"/>
    <x v="3"/>
  </r>
  <r>
    <x v="0"/>
    <x v="38"/>
    <x v="38"/>
    <x v="21"/>
    <x v="21"/>
    <x v="21"/>
    <x v="15"/>
    <x v="310"/>
    <x v="464"/>
    <x v="79"/>
    <x v="480"/>
    <x v="225"/>
    <x v="260"/>
    <x v="3"/>
  </r>
  <r>
    <x v="0"/>
    <x v="38"/>
    <x v="38"/>
    <x v="34"/>
    <x v="34"/>
    <x v="34"/>
    <x v="16"/>
    <x v="321"/>
    <x v="295"/>
    <x v="53"/>
    <x v="247"/>
    <x v="222"/>
    <x v="444"/>
    <x v="3"/>
  </r>
  <r>
    <x v="0"/>
    <x v="38"/>
    <x v="38"/>
    <x v="39"/>
    <x v="39"/>
    <x v="39"/>
    <x v="16"/>
    <x v="321"/>
    <x v="295"/>
    <x v="56"/>
    <x v="55"/>
    <x v="210"/>
    <x v="37"/>
    <x v="3"/>
  </r>
  <r>
    <x v="0"/>
    <x v="38"/>
    <x v="38"/>
    <x v="17"/>
    <x v="17"/>
    <x v="17"/>
    <x v="16"/>
    <x v="321"/>
    <x v="295"/>
    <x v="70"/>
    <x v="481"/>
    <x v="65"/>
    <x v="305"/>
    <x v="3"/>
  </r>
  <r>
    <x v="0"/>
    <x v="38"/>
    <x v="38"/>
    <x v="7"/>
    <x v="7"/>
    <x v="7"/>
    <x v="16"/>
    <x v="321"/>
    <x v="295"/>
    <x v="72"/>
    <x v="438"/>
    <x v="228"/>
    <x v="291"/>
    <x v="3"/>
  </r>
  <r>
    <x v="0"/>
    <x v="39"/>
    <x v="39"/>
    <x v="1"/>
    <x v="1"/>
    <x v="1"/>
    <x v="0"/>
    <x v="76"/>
    <x v="465"/>
    <x v="225"/>
    <x v="482"/>
    <x v="209"/>
    <x v="445"/>
    <x v="3"/>
  </r>
  <r>
    <x v="0"/>
    <x v="39"/>
    <x v="39"/>
    <x v="4"/>
    <x v="4"/>
    <x v="4"/>
    <x v="1"/>
    <x v="45"/>
    <x v="466"/>
    <x v="182"/>
    <x v="483"/>
    <x v="66"/>
    <x v="446"/>
    <x v="3"/>
  </r>
  <r>
    <x v="0"/>
    <x v="39"/>
    <x v="39"/>
    <x v="3"/>
    <x v="3"/>
    <x v="3"/>
    <x v="2"/>
    <x v="63"/>
    <x v="310"/>
    <x v="48"/>
    <x v="484"/>
    <x v="55"/>
    <x v="447"/>
    <x v="3"/>
  </r>
  <r>
    <x v="0"/>
    <x v="39"/>
    <x v="39"/>
    <x v="0"/>
    <x v="0"/>
    <x v="0"/>
    <x v="3"/>
    <x v="50"/>
    <x v="467"/>
    <x v="146"/>
    <x v="485"/>
    <x v="230"/>
    <x v="89"/>
    <x v="3"/>
  </r>
  <r>
    <x v="0"/>
    <x v="39"/>
    <x v="39"/>
    <x v="5"/>
    <x v="5"/>
    <x v="5"/>
    <x v="4"/>
    <x v="77"/>
    <x v="299"/>
    <x v="135"/>
    <x v="486"/>
    <x v="47"/>
    <x v="448"/>
    <x v="3"/>
  </r>
  <r>
    <x v="0"/>
    <x v="39"/>
    <x v="39"/>
    <x v="11"/>
    <x v="11"/>
    <x v="11"/>
    <x v="5"/>
    <x v="81"/>
    <x v="468"/>
    <x v="80"/>
    <x v="487"/>
    <x v="230"/>
    <x v="89"/>
    <x v="3"/>
  </r>
  <r>
    <x v="0"/>
    <x v="39"/>
    <x v="39"/>
    <x v="18"/>
    <x v="18"/>
    <x v="18"/>
    <x v="6"/>
    <x v="54"/>
    <x v="248"/>
    <x v="56"/>
    <x v="55"/>
    <x v="109"/>
    <x v="449"/>
    <x v="3"/>
  </r>
  <r>
    <x v="0"/>
    <x v="39"/>
    <x v="39"/>
    <x v="9"/>
    <x v="9"/>
    <x v="9"/>
    <x v="7"/>
    <x v="82"/>
    <x v="94"/>
    <x v="80"/>
    <x v="487"/>
    <x v="229"/>
    <x v="450"/>
    <x v="3"/>
  </r>
  <r>
    <x v="0"/>
    <x v="39"/>
    <x v="39"/>
    <x v="6"/>
    <x v="6"/>
    <x v="6"/>
    <x v="8"/>
    <x v="55"/>
    <x v="128"/>
    <x v="52"/>
    <x v="488"/>
    <x v="230"/>
    <x v="89"/>
    <x v="3"/>
  </r>
  <r>
    <x v="0"/>
    <x v="39"/>
    <x v="39"/>
    <x v="25"/>
    <x v="25"/>
    <x v="25"/>
    <x v="9"/>
    <x v="125"/>
    <x v="193"/>
    <x v="64"/>
    <x v="489"/>
    <x v="222"/>
    <x v="188"/>
    <x v="3"/>
  </r>
  <r>
    <x v="0"/>
    <x v="39"/>
    <x v="39"/>
    <x v="10"/>
    <x v="10"/>
    <x v="10"/>
    <x v="10"/>
    <x v="126"/>
    <x v="432"/>
    <x v="84"/>
    <x v="383"/>
    <x v="229"/>
    <x v="450"/>
    <x v="6"/>
  </r>
  <r>
    <x v="0"/>
    <x v="39"/>
    <x v="39"/>
    <x v="8"/>
    <x v="8"/>
    <x v="8"/>
    <x v="11"/>
    <x v="303"/>
    <x v="424"/>
    <x v="71"/>
    <x v="490"/>
    <x v="72"/>
    <x v="46"/>
    <x v="3"/>
  </r>
  <r>
    <x v="0"/>
    <x v="39"/>
    <x v="39"/>
    <x v="2"/>
    <x v="2"/>
    <x v="2"/>
    <x v="12"/>
    <x v="295"/>
    <x v="469"/>
    <x v="53"/>
    <x v="65"/>
    <x v="72"/>
    <x v="46"/>
    <x v="3"/>
  </r>
  <r>
    <x v="0"/>
    <x v="39"/>
    <x v="39"/>
    <x v="12"/>
    <x v="12"/>
    <x v="12"/>
    <x v="13"/>
    <x v="296"/>
    <x v="16"/>
    <x v="46"/>
    <x v="62"/>
    <x v="225"/>
    <x v="36"/>
    <x v="3"/>
  </r>
  <r>
    <x v="0"/>
    <x v="39"/>
    <x v="39"/>
    <x v="13"/>
    <x v="13"/>
    <x v="13"/>
    <x v="13"/>
    <x v="296"/>
    <x v="16"/>
    <x v="37"/>
    <x v="218"/>
    <x v="210"/>
    <x v="109"/>
    <x v="3"/>
  </r>
  <r>
    <x v="0"/>
    <x v="39"/>
    <x v="39"/>
    <x v="20"/>
    <x v="20"/>
    <x v="20"/>
    <x v="15"/>
    <x v="308"/>
    <x v="470"/>
    <x v="37"/>
    <x v="218"/>
    <x v="65"/>
    <x v="94"/>
    <x v="3"/>
  </r>
  <r>
    <x v="0"/>
    <x v="39"/>
    <x v="39"/>
    <x v="34"/>
    <x v="34"/>
    <x v="34"/>
    <x v="16"/>
    <x v="322"/>
    <x v="307"/>
    <x v="72"/>
    <x v="222"/>
    <x v="225"/>
    <x v="36"/>
    <x v="3"/>
  </r>
  <r>
    <x v="0"/>
    <x v="39"/>
    <x v="39"/>
    <x v="32"/>
    <x v="32"/>
    <x v="32"/>
    <x v="16"/>
    <x v="322"/>
    <x v="307"/>
    <x v="84"/>
    <x v="383"/>
    <x v="229"/>
    <x v="450"/>
    <x v="3"/>
  </r>
  <r>
    <x v="0"/>
    <x v="39"/>
    <x v="39"/>
    <x v="21"/>
    <x v="21"/>
    <x v="21"/>
    <x v="16"/>
    <x v="322"/>
    <x v="307"/>
    <x v="46"/>
    <x v="62"/>
    <x v="228"/>
    <x v="394"/>
    <x v="3"/>
  </r>
  <r>
    <x v="0"/>
    <x v="39"/>
    <x v="39"/>
    <x v="17"/>
    <x v="17"/>
    <x v="17"/>
    <x v="19"/>
    <x v="320"/>
    <x v="471"/>
    <x v="72"/>
    <x v="222"/>
    <x v="230"/>
    <x v="89"/>
    <x v="3"/>
  </r>
  <r>
    <x v="0"/>
    <x v="39"/>
    <x v="39"/>
    <x v="7"/>
    <x v="7"/>
    <x v="7"/>
    <x v="19"/>
    <x v="320"/>
    <x v="471"/>
    <x v="37"/>
    <x v="218"/>
    <x v="222"/>
    <x v="188"/>
    <x v="3"/>
  </r>
  <r>
    <x v="0"/>
    <x v="40"/>
    <x v="40"/>
    <x v="1"/>
    <x v="1"/>
    <x v="1"/>
    <x v="0"/>
    <x v="221"/>
    <x v="472"/>
    <x v="226"/>
    <x v="491"/>
    <x v="53"/>
    <x v="197"/>
    <x v="3"/>
  </r>
  <r>
    <x v="0"/>
    <x v="40"/>
    <x v="40"/>
    <x v="3"/>
    <x v="3"/>
    <x v="3"/>
    <x v="1"/>
    <x v="279"/>
    <x v="473"/>
    <x v="224"/>
    <x v="492"/>
    <x v="231"/>
    <x v="451"/>
    <x v="3"/>
  </r>
  <r>
    <x v="0"/>
    <x v="40"/>
    <x v="40"/>
    <x v="0"/>
    <x v="0"/>
    <x v="0"/>
    <x v="2"/>
    <x v="275"/>
    <x v="474"/>
    <x v="223"/>
    <x v="493"/>
    <x v="227"/>
    <x v="452"/>
    <x v="3"/>
  </r>
  <r>
    <x v="0"/>
    <x v="40"/>
    <x v="40"/>
    <x v="4"/>
    <x v="4"/>
    <x v="4"/>
    <x v="3"/>
    <x v="286"/>
    <x v="475"/>
    <x v="94"/>
    <x v="494"/>
    <x v="120"/>
    <x v="453"/>
    <x v="3"/>
  </r>
  <r>
    <x v="0"/>
    <x v="40"/>
    <x v="40"/>
    <x v="5"/>
    <x v="5"/>
    <x v="5"/>
    <x v="4"/>
    <x v="144"/>
    <x v="476"/>
    <x v="65"/>
    <x v="495"/>
    <x v="53"/>
    <x v="197"/>
    <x v="3"/>
  </r>
  <r>
    <x v="0"/>
    <x v="40"/>
    <x v="40"/>
    <x v="11"/>
    <x v="11"/>
    <x v="11"/>
    <x v="5"/>
    <x v="253"/>
    <x v="477"/>
    <x v="193"/>
    <x v="496"/>
    <x v="49"/>
    <x v="185"/>
    <x v="3"/>
  </r>
  <r>
    <x v="0"/>
    <x v="40"/>
    <x v="40"/>
    <x v="6"/>
    <x v="6"/>
    <x v="6"/>
    <x v="6"/>
    <x v="114"/>
    <x v="323"/>
    <x v="45"/>
    <x v="497"/>
    <x v="51"/>
    <x v="257"/>
    <x v="3"/>
  </r>
  <r>
    <x v="0"/>
    <x v="40"/>
    <x v="40"/>
    <x v="2"/>
    <x v="2"/>
    <x v="2"/>
    <x v="7"/>
    <x v="78"/>
    <x v="478"/>
    <x v="68"/>
    <x v="184"/>
    <x v="104"/>
    <x v="454"/>
    <x v="3"/>
  </r>
  <r>
    <x v="0"/>
    <x v="40"/>
    <x v="40"/>
    <x v="8"/>
    <x v="8"/>
    <x v="8"/>
    <x v="8"/>
    <x v="263"/>
    <x v="370"/>
    <x v="182"/>
    <x v="342"/>
    <x v="54"/>
    <x v="436"/>
    <x v="3"/>
  </r>
  <r>
    <x v="0"/>
    <x v="40"/>
    <x v="40"/>
    <x v="9"/>
    <x v="9"/>
    <x v="9"/>
    <x v="9"/>
    <x v="68"/>
    <x v="83"/>
    <x v="81"/>
    <x v="206"/>
    <x v="210"/>
    <x v="318"/>
    <x v="3"/>
  </r>
  <r>
    <x v="0"/>
    <x v="40"/>
    <x v="40"/>
    <x v="12"/>
    <x v="12"/>
    <x v="12"/>
    <x v="10"/>
    <x v="281"/>
    <x v="48"/>
    <x v="83"/>
    <x v="112"/>
    <x v="63"/>
    <x v="455"/>
    <x v="3"/>
  </r>
  <r>
    <x v="0"/>
    <x v="40"/>
    <x v="40"/>
    <x v="7"/>
    <x v="7"/>
    <x v="7"/>
    <x v="11"/>
    <x v="52"/>
    <x v="384"/>
    <x v="52"/>
    <x v="498"/>
    <x v="107"/>
    <x v="247"/>
    <x v="6"/>
  </r>
  <r>
    <x v="0"/>
    <x v="40"/>
    <x v="40"/>
    <x v="34"/>
    <x v="34"/>
    <x v="34"/>
    <x v="12"/>
    <x v="54"/>
    <x v="149"/>
    <x v="54"/>
    <x v="499"/>
    <x v="53"/>
    <x v="197"/>
    <x v="3"/>
  </r>
  <r>
    <x v="0"/>
    <x v="40"/>
    <x v="40"/>
    <x v="25"/>
    <x v="25"/>
    <x v="25"/>
    <x v="13"/>
    <x v="71"/>
    <x v="469"/>
    <x v="68"/>
    <x v="184"/>
    <x v="225"/>
    <x v="70"/>
    <x v="3"/>
  </r>
  <r>
    <x v="0"/>
    <x v="40"/>
    <x v="40"/>
    <x v="26"/>
    <x v="26"/>
    <x v="26"/>
    <x v="14"/>
    <x v="72"/>
    <x v="405"/>
    <x v="84"/>
    <x v="500"/>
    <x v="48"/>
    <x v="456"/>
    <x v="3"/>
  </r>
  <r>
    <x v="0"/>
    <x v="40"/>
    <x v="40"/>
    <x v="10"/>
    <x v="10"/>
    <x v="10"/>
    <x v="14"/>
    <x v="72"/>
    <x v="405"/>
    <x v="62"/>
    <x v="501"/>
    <x v="65"/>
    <x v="457"/>
    <x v="3"/>
  </r>
  <r>
    <x v="0"/>
    <x v="40"/>
    <x v="40"/>
    <x v="13"/>
    <x v="13"/>
    <x v="13"/>
    <x v="16"/>
    <x v="282"/>
    <x v="238"/>
    <x v="55"/>
    <x v="197"/>
    <x v="47"/>
    <x v="137"/>
    <x v="3"/>
  </r>
  <r>
    <x v="0"/>
    <x v="40"/>
    <x v="40"/>
    <x v="23"/>
    <x v="23"/>
    <x v="23"/>
    <x v="17"/>
    <x v="84"/>
    <x v="479"/>
    <x v="71"/>
    <x v="104"/>
    <x v="227"/>
    <x v="452"/>
    <x v="3"/>
  </r>
  <r>
    <x v="0"/>
    <x v="40"/>
    <x v="40"/>
    <x v="20"/>
    <x v="20"/>
    <x v="20"/>
    <x v="18"/>
    <x v="126"/>
    <x v="72"/>
    <x v="84"/>
    <x v="500"/>
    <x v="107"/>
    <x v="247"/>
    <x v="3"/>
  </r>
  <r>
    <x v="0"/>
    <x v="40"/>
    <x v="40"/>
    <x v="17"/>
    <x v="17"/>
    <x v="17"/>
    <x v="19"/>
    <x v="294"/>
    <x v="361"/>
    <x v="72"/>
    <x v="46"/>
    <x v="47"/>
    <x v="137"/>
    <x v="3"/>
  </r>
  <r>
    <x v="0"/>
    <x v="41"/>
    <x v="41"/>
    <x v="4"/>
    <x v="4"/>
    <x v="4"/>
    <x v="0"/>
    <x v="260"/>
    <x v="480"/>
    <x v="100"/>
    <x v="502"/>
    <x v="62"/>
    <x v="458"/>
    <x v="3"/>
  </r>
  <r>
    <x v="0"/>
    <x v="41"/>
    <x v="41"/>
    <x v="1"/>
    <x v="1"/>
    <x v="1"/>
    <x v="1"/>
    <x v="305"/>
    <x v="481"/>
    <x v="225"/>
    <x v="503"/>
    <x v="230"/>
    <x v="44"/>
    <x v="3"/>
  </r>
  <r>
    <x v="0"/>
    <x v="41"/>
    <x v="41"/>
    <x v="3"/>
    <x v="3"/>
    <x v="3"/>
    <x v="2"/>
    <x v="307"/>
    <x v="482"/>
    <x v="135"/>
    <x v="504"/>
    <x v="207"/>
    <x v="459"/>
    <x v="3"/>
  </r>
  <r>
    <x v="0"/>
    <x v="41"/>
    <x v="41"/>
    <x v="5"/>
    <x v="5"/>
    <x v="5"/>
    <x v="3"/>
    <x v="122"/>
    <x v="483"/>
    <x v="39"/>
    <x v="505"/>
    <x v="225"/>
    <x v="423"/>
    <x v="6"/>
  </r>
  <r>
    <x v="0"/>
    <x v="41"/>
    <x v="41"/>
    <x v="0"/>
    <x v="0"/>
    <x v="0"/>
    <x v="4"/>
    <x v="51"/>
    <x v="484"/>
    <x v="193"/>
    <x v="94"/>
    <x v="229"/>
    <x v="460"/>
    <x v="3"/>
  </r>
  <r>
    <x v="0"/>
    <x v="41"/>
    <x v="41"/>
    <x v="6"/>
    <x v="6"/>
    <x v="6"/>
    <x v="5"/>
    <x v="263"/>
    <x v="477"/>
    <x v="81"/>
    <x v="506"/>
    <x v="209"/>
    <x v="47"/>
    <x v="3"/>
  </r>
  <r>
    <x v="0"/>
    <x v="41"/>
    <x v="41"/>
    <x v="11"/>
    <x v="11"/>
    <x v="11"/>
    <x v="6"/>
    <x v="69"/>
    <x v="357"/>
    <x v="66"/>
    <x v="63"/>
    <x v="107"/>
    <x v="461"/>
    <x v="3"/>
  </r>
  <r>
    <x v="0"/>
    <x v="41"/>
    <x v="41"/>
    <x v="2"/>
    <x v="2"/>
    <x v="2"/>
    <x v="6"/>
    <x v="69"/>
    <x v="357"/>
    <x v="83"/>
    <x v="121"/>
    <x v="201"/>
    <x v="462"/>
    <x v="3"/>
  </r>
  <r>
    <x v="0"/>
    <x v="41"/>
    <x v="41"/>
    <x v="9"/>
    <x v="9"/>
    <x v="9"/>
    <x v="8"/>
    <x v="70"/>
    <x v="343"/>
    <x v="81"/>
    <x v="506"/>
    <x v="229"/>
    <x v="460"/>
    <x v="3"/>
  </r>
  <r>
    <x v="0"/>
    <x v="41"/>
    <x v="41"/>
    <x v="8"/>
    <x v="8"/>
    <x v="8"/>
    <x v="9"/>
    <x v="53"/>
    <x v="113"/>
    <x v="62"/>
    <x v="32"/>
    <x v="48"/>
    <x v="279"/>
    <x v="3"/>
  </r>
  <r>
    <x v="0"/>
    <x v="41"/>
    <x v="41"/>
    <x v="10"/>
    <x v="10"/>
    <x v="10"/>
    <x v="10"/>
    <x v="82"/>
    <x v="370"/>
    <x v="182"/>
    <x v="507"/>
    <x v="222"/>
    <x v="463"/>
    <x v="3"/>
  </r>
  <r>
    <x v="0"/>
    <x v="41"/>
    <x v="41"/>
    <x v="12"/>
    <x v="12"/>
    <x v="12"/>
    <x v="11"/>
    <x v="85"/>
    <x v="485"/>
    <x v="54"/>
    <x v="295"/>
    <x v="210"/>
    <x v="280"/>
    <x v="3"/>
  </r>
  <r>
    <x v="0"/>
    <x v="41"/>
    <x v="41"/>
    <x v="18"/>
    <x v="18"/>
    <x v="18"/>
    <x v="12"/>
    <x v="126"/>
    <x v="85"/>
    <x v="56"/>
    <x v="55"/>
    <x v="63"/>
    <x v="464"/>
    <x v="3"/>
  </r>
  <r>
    <x v="0"/>
    <x v="41"/>
    <x v="41"/>
    <x v="25"/>
    <x v="25"/>
    <x v="25"/>
    <x v="12"/>
    <x v="126"/>
    <x v="85"/>
    <x v="62"/>
    <x v="32"/>
    <x v="228"/>
    <x v="465"/>
    <x v="3"/>
  </r>
  <r>
    <x v="0"/>
    <x v="41"/>
    <x v="41"/>
    <x v="17"/>
    <x v="17"/>
    <x v="17"/>
    <x v="14"/>
    <x v="294"/>
    <x v="486"/>
    <x v="72"/>
    <x v="508"/>
    <x v="47"/>
    <x v="155"/>
    <x v="3"/>
  </r>
  <r>
    <x v="0"/>
    <x v="41"/>
    <x v="41"/>
    <x v="34"/>
    <x v="34"/>
    <x v="34"/>
    <x v="15"/>
    <x v="295"/>
    <x v="238"/>
    <x v="72"/>
    <x v="508"/>
    <x v="107"/>
    <x v="461"/>
    <x v="3"/>
  </r>
  <r>
    <x v="0"/>
    <x v="41"/>
    <x v="41"/>
    <x v="13"/>
    <x v="13"/>
    <x v="13"/>
    <x v="16"/>
    <x v="296"/>
    <x v="133"/>
    <x v="71"/>
    <x v="509"/>
    <x v="230"/>
    <x v="44"/>
    <x v="3"/>
  </r>
  <r>
    <x v="0"/>
    <x v="41"/>
    <x v="41"/>
    <x v="7"/>
    <x v="7"/>
    <x v="7"/>
    <x v="17"/>
    <x v="308"/>
    <x v="72"/>
    <x v="46"/>
    <x v="376"/>
    <x v="230"/>
    <x v="44"/>
    <x v="3"/>
  </r>
  <r>
    <x v="0"/>
    <x v="41"/>
    <x v="41"/>
    <x v="33"/>
    <x v="33"/>
    <x v="33"/>
    <x v="18"/>
    <x v="322"/>
    <x v="487"/>
    <x v="71"/>
    <x v="509"/>
    <x v="222"/>
    <x v="463"/>
    <x v="3"/>
  </r>
  <r>
    <x v="0"/>
    <x v="41"/>
    <x v="41"/>
    <x v="28"/>
    <x v="28"/>
    <x v="28"/>
    <x v="18"/>
    <x v="322"/>
    <x v="487"/>
    <x v="79"/>
    <x v="39"/>
    <x v="210"/>
    <x v="280"/>
    <x v="3"/>
  </r>
  <r>
    <x v="0"/>
    <x v="42"/>
    <x v="42"/>
    <x v="0"/>
    <x v="0"/>
    <x v="0"/>
    <x v="0"/>
    <x v="229"/>
    <x v="488"/>
    <x v="187"/>
    <x v="510"/>
    <x v="73"/>
    <x v="466"/>
    <x v="3"/>
  </r>
  <r>
    <x v="0"/>
    <x v="42"/>
    <x v="42"/>
    <x v="1"/>
    <x v="1"/>
    <x v="1"/>
    <x v="1"/>
    <x v="297"/>
    <x v="170"/>
    <x v="74"/>
    <x v="511"/>
    <x v="223"/>
    <x v="467"/>
    <x v="3"/>
  </r>
  <r>
    <x v="0"/>
    <x v="42"/>
    <x v="42"/>
    <x v="4"/>
    <x v="4"/>
    <x v="4"/>
    <x v="2"/>
    <x v="210"/>
    <x v="489"/>
    <x v="59"/>
    <x v="512"/>
    <x v="236"/>
    <x v="468"/>
    <x v="3"/>
  </r>
  <r>
    <x v="0"/>
    <x v="42"/>
    <x v="42"/>
    <x v="3"/>
    <x v="3"/>
    <x v="3"/>
    <x v="3"/>
    <x v="276"/>
    <x v="490"/>
    <x v="44"/>
    <x v="513"/>
    <x v="118"/>
    <x v="469"/>
    <x v="3"/>
  </r>
  <r>
    <x v="0"/>
    <x v="42"/>
    <x v="42"/>
    <x v="5"/>
    <x v="5"/>
    <x v="5"/>
    <x v="4"/>
    <x v="118"/>
    <x v="491"/>
    <x v="210"/>
    <x v="514"/>
    <x v="40"/>
    <x v="224"/>
    <x v="6"/>
  </r>
  <r>
    <x v="0"/>
    <x v="42"/>
    <x v="42"/>
    <x v="6"/>
    <x v="6"/>
    <x v="6"/>
    <x v="5"/>
    <x v="225"/>
    <x v="468"/>
    <x v="181"/>
    <x v="515"/>
    <x v="223"/>
    <x v="467"/>
    <x v="3"/>
  </r>
  <r>
    <x v="0"/>
    <x v="42"/>
    <x v="42"/>
    <x v="8"/>
    <x v="8"/>
    <x v="8"/>
    <x v="5"/>
    <x v="225"/>
    <x v="468"/>
    <x v="167"/>
    <x v="516"/>
    <x v="50"/>
    <x v="470"/>
    <x v="3"/>
  </r>
  <r>
    <x v="0"/>
    <x v="42"/>
    <x v="42"/>
    <x v="2"/>
    <x v="2"/>
    <x v="2"/>
    <x v="7"/>
    <x v="240"/>
    <x v="492"/>
    <x v="83"/>
    <x v="312"/>
    <x v="97"/>
    <x v="471"/>
    <x v="3"/>
  </r>
  <r>
    <x v="0"/>
    <x v="42"/>
    <x v="42"/>
    <x v="11"/>
    <x v="11"/>
    <x v="11"/>
    <x v="8"/>
    <x v="46"/>
    <x v="145"/>
    <x v="49"/>
    <x v="489"/>
    <x v="223"/>
    <x v="467"/>
    <x v="3"/>
  </r>
  <r>
    <x v="0"/>
    <x v="42"/>
    <x v="42"/>
    <x v="10"/>
    <x v="10"/>
    <x v="10"/>
    <x v="9"/>
    <x v="122"/>
    <x v="493"/>
    <x v="48"/>
    <x v="517"/>
    <x v="63"/>
    <x v="73"/>
    <x v="3"/>
  </r>
  <r>
    <x v="0"/>
    <x v="42"/>
    <x v="42"/>
    <x v="9"/>
    <x v="9"/>
    <x v="9"/>
    <x v="10"/>
    <x v="48"/>
    <x v="494"/>
    <x v="39"/>
    <x v="518"/>
    <x v="230"/>
    <x v="472"/>
    <x v="3"/>
  </r>
  <r>
    <x v="0"/>
    <x v="42"/>
    <x v="42"/>
    <x v="13"/>
    <x v="13"/>
    <x v="13"/>
    <x v="11"/>
    <x v="234"/>
    <x v="263"/>
    <x v="50"/>
    <x v="68"/>
    <x v="55"/>
    <x v="234"/>
    <x v="3"/>
  </r>
  <r>
    <x v="0"/>
    <x v="42"/>
    <x v="42"/>
    <x v="7"/>
    <x v="7"/>
    <x v="7"/>
    <x v="12"/>
    <x v="69"/>
    <x v="69"/>
    <x v="68"/>
    <x v="519"/>
    <x v="63"/>
    <x v="73"/>
    <x v="3"/>
  </r>
  <r>
    <x v="0"/>
    <x v="42"/>
    <x v="42"/>
    <x v="12"/>
    <x v="12"/>
    <x v="12"/>
    <x v="13"/>
    <x v="281"/>
    <x v="414"/>
    <x v="114"/>
    <x v="134"/>
    <x v="40"/>
    <x v="224"/>
    <x v="3"/>
  </r>
  <r>
    <x v="0"/>
    <x v="42"/>
    <x v="42"/>
    <x v="18"/>
    <x v="18"/>
    <x v="18"/>
    <x v="14"/>
    <x v="53"/>
    <x v="86"/>
    <x v="70"/>
    <x v="210"/>
    <x v="73"/>
    <x v="466"/>
    <x v="3"/>
  </r>
  <r>
    <x v="0"/>
    <x v="42"/>
    <x v="42"/>
    <x v="34"/>
    <x v="34"/>
    <x v="34"/>
    <x v="15"/>
    <x v="82"/>
    <x v="119"/>
    <x v="91"/>
    <x v="142"/>
    <x v="48"/>
    <x v="137"/>
    <x v="6"/>
  </r>
  <r>
    <x v="0"/>
    <x v="42"/>
    <x v="42"/>
    <x v="40"/>
    <x v="40"/>
    <x v="40"/>
    <x v="16"/>
    <x v="55"/>
    <x v="495"/>
    <x v="67"/>
    <x v="374"/>
    <x v="229"/>
    <x v="473"/>
    <x v="3"/>
  </r>
  <r>
    <x v="0"/>
    <x v="42"/>
    <x v="42"/>
    <x v="20"/>
    <x v="20"/>
    <x v="20"/>
    <x v="16"/>
    <x v="55"/>
    <x v="495"/>
    <x v="91"/>
    <x v="142"/>
    <x v="48"/>
    <x v="137"/>
    <x v="3"/>
  </r>
  <r>
    <x v="0"/>
    <x v="42"/>
    <x v="42"/>
    <x v="14"/>
    <x v="14"/>
    <x v="14"/>
    <x v="18"/>
    <x v="56"/>
    <x v="19"/>
    <x v="53"/>
    <x v="520"/>
    <x v="201"/>
    <x v="109"/>
    <x v="3"/>
  </r>
  <r>
    <x v="0"/>
    <x v="42"/>
    <x v="42"/>
    <x v="25"/>
    <x v="25"/>
    <x v="25"/>
    <x v="18"/>
    <x v="56"/>
    <x v="19"/>
    <x v="68"/>
    <x v="519"/>
    <x v="230"/>
    <x v="472"/>
    <x v="3"/>
  </r>
  <r>
    <x v="0"/>
    <x v="43"/>
    <x v="43"/>
    <x v="6"/>
    <x v="6"/>
    <x v="6"/>
    <x v="0"/>
    <x v="251"/>
    <x v="496"/>
    <x v="181"/>
    <x v="521"/>
    <x v="233"/>
    <x v="474"/>
    <x v="3"/>
  </r>
  <r>
    <x v="0"/>
    <x v="43"/>
    <x v="43"/>
    <x v="1"/>
    <x v="1"/>
    <x v="1"/>
    <x v="1"/>
    <x v="224"/>
    <x v="268"/>
    <x v="58"/>
    <x v="522"/>
    <x v="56"/>
    <x v="183"/>
    <x v="3"/>
  </r>
  <r>
    <x v="0"/>
    <x v="43"/>
    <x v="43"/>
    <x v="4"/>
    <x v="4"/>
    <x v="4"/>
    <x v="2"/>
    <x v="112"/>
    <x v="497"/>
    <x v="52"/>
    <x v="523"/>
    <x v="208"/>
    <x v="475"/>
    <x v="3"/>
  </r>
  <r>
    <x v="0"/>
    <x v="43"/>
    <x v="43"/>
    <x v="0"/>
    <x v="0"/>
    <x v="0"/>
    <x v="3"/>
    <x v="142"/>
    <x v="498"/>
    <x v="58"/>
    <x v="522"/>
    <x v="210"/>
    <x v="476"/>
    <x v="3"/>
  </r>
  <r>
    <x v="0"/>
    <x v="43"/>
    <x v="43"/>
    <x v="11"/>
    <x v="11"/>
    <x v="11"/>
    <x v="4"/>
    <x v="254"/>
    <x v="428"/>
    <x v="98"/>
    <x v="335"/>
    <x v="49"/>
    <x v="156"/>
    <x v="3"/>
  </r>
  <r>
    <x v="0"/>
    <x v="43"/>
    <x v="43"/>
    <x v="8"/>
    <x v="8"/>
    <x v="8"/>
    <x v="5"/>
    <x v="114"/>
    <x v="499"/>
    <x v="106"/>
    <x v="138"/>
    <x v="69"/>
    <x v="477"/>
    <x v="3"/>
  </r>
  <r>
    <x v="0"/>
    <x v="43"/>
    <x v="43"/>
    <x v="3"/>
    <x v="3"/>
    <x v="3"/>
    <x v="6"/>
    <x v="79"/>
    <x v="500"/>
    <x v="68"/>
    <x v="29"/>
    <x v="73"/>
    <x v="321"/>
    <x v="3"/>
  </r>
  <r>
    <x v="0"/>
    <x v="43"/>
    <x v="43"/>
    <x v="2"/>
    <x v="2"/>
    <x v="2"/>
    <x v="7"/>
    <x v="234"/>
    <x v="501"/>
    <x v="70"/>
    <x v="213"/>
    <x v="234"/>
    <x v="478"/>
    <x v="3"/>
  </r>
  <r>
    <x v="0"/>
    <x v="43"/>
    <x v="43"/>
    <x v="5"/>
    <x v="5"/>
    <x v="5"/>
    <x v="8"/>
    <x v="264"/>
    <x v="494"/>
    <x v="80"/>
    <x v="524"/>
    <x v="47"/>
    <x v="117"/>
    <x v="3"/>
  </r>
  <r>
    <x v="0"/>
    <x v="43"/>
    <x v="43"/>
    <x v="10"/>
    <x v="10"/>
    <x v="10"/>
    <x v="9"/>
    <x v="124"/>
    <x v="370"/>
    <x v="80"/>
    <x v="524"/>
    <x v="65"/>
    <x v="417"/>
    <x v="3"/>
  </r>
  <r>
    <x v="0"/>
    <x v="43"/>
    <x v="43"/>
    <x v="25"/>
    <x v="25"/>
    <x v="25"/>
    <x v="10"/>
    <x v="81"/>
    <x v="249"/>
    <x v="78"/>
    <x v="525"/>
    <x v="65"/>
    <x v="417"/>
    <x v="3"/>
  </r>
  <r>
    <x v="0"/>
    <x v="43"/>
    <x v="43"/>
    <x v="7"/>
    <x v="7"/>
    <x v="7"/>
    <x v="11"/>
    <x v="82"/>
    <x v="502"/>
    <x v="83"/>
    <x v="188"/>
    <x v="72"/>
    <x v="9"/>
    <x v="3"/>
  </r>
  <r>
    <x v="0"/>
    <x v="43"/>
    <x v="43"/>
    <x v="33"/>
    <x v="33"/>
    <x v="33"/>
    <x v="12"/>
    <x v="56"/>
    <x v="371"/>
    <x v="71"/>
    <x v="526"/>
    <x v="63"/>
    <x v="124"/>
    <x v="3"/>
  </r>
  <r>
    <x v="0"/>
    <x v="43"/>
    <x v="43"/>
    <x v="13"/>
    <x v="13"/>
    <x v="13"/>
    <x v="13"/>
    <x v="83"/>
    <x v="69"/>
    <x v="46"/>
    <x v="8"/>
    <x v="109"/>
    <x v="15"/>
    <x v="3"/>
  </r>
  <r>
    <x v="0"/>
    <x v="43"/>
    <x v="43"/>
    <x v="32"/>
    <x v="32"/>
    <x v="32"/>
    <x v="14"/>
    <x v="282"/>
    <x v="469"/>
    <x v="46"/>
    <x v="8"/>
    <x v="227"/>
    <x v="479"/>
    <x v="3"/>
  </r>
  <r>
    <x v="0"/>
    <x v="43"/>
    <x v="43"/>
    <x v="14"/>
    <x v="14"/>
    <x v="14"/>
    <x v="14"/>
    <x v="282"/>
    <x v="469"/>
    <x v="53"/>
    <x v="245"/>
    <x v="53"/>
    <x v="32"/>
    <x v="3"/>
  </r>
  <r>
    <x v="0"/>
    <x v="43"/>
    <x v="43"/>
    <x v="9"/>
    <x v="9"/>
    <x v="9"/>
    <x v="14"/>
    <x v="282"/>
    <x v="469"/>
    <x v="68"/>
    <x v="29"/>
    <x v="235"/>
    <x v="439"/>
    <x v="3"/>
  </r>
  <r>
    <x v="0"/>
    <x v="43"/>
    <x v="43"/>
    <x v="19"/>
    <x v="19"/>
    <x v="19"/>
    <x v="17"/>
    <x v="126"/>
    <x v="470"/>
    <x v="79"/>
    <x v="158"/>
    <x v="205"/>
    <x v="63"/>
    <x v="3"/>
  </r>
  <r>
    <x v="0"/>
    <x v="43"/>
    <x v="43"/>
    <x v="16"/>
    <x v="16"/>
    <x v="16"/>
    <x v="18"/>
    <x v="294"/>
    <x v="295"/>
    <x v="82"/>
    <x v="176"/>
    <x v="48"/>
    <x v="221"/>
    <x v="3"/>
  </r>
  <r>
    <x v="0"/>
    <x v="43"/>
    <x v="43"/>
    <x v="18"/>
    <x v="18"/>
    <x v="18"/>
    <x v="19"/>
    <x v="304"/>
    <x v="307"/>
    <x v="56"/>
    <x v="55"/>
    <x v="57"/>
    <x v="205"/>
    <x v="3"/>
  </r>
  <r>
    <x v="0"/>
    <x v="44"/>
    <x v="44"/>
    <x v="4"/>
    <x v="4"/>
    <x v="4"/>
    <x v="0"/>
    <x v="46"/>
    <x v="503"/>
    <x v="52"/>
    <x v="527"/>
    <x v="226"/>
    <x v="216"/>
    <x v="3"/>
  </r>
  <r>
    <x v="0"/>
    <x v="44"/>
    <x v="44"/>
    <x v="6"/>
    <x v="6"/>
    <x v="6"/>
    <x v="1"/>
    <x v="253"/>
    <x v="460"/>
    <x v="34"/>
    <x v="528"/>
    <x v="108"/>
    <x v="480"/>
    <x v="3"/>
  </r>
  <r>
    <x v="0"/>
    <x v="44"/>
    <x v="44"/>
    <x v="8"/>
    <x v="8"/>
    <x v="8"/>
    <x v="2"/>
    <x v="114"/>
    <x v="504"/>
    <x v="61"/>
    <x v="163"/>
    <x v="145"/>
    <x v="481"/>
    <x v="3"/>
  </r>
  <r>
    <x v="0"/>
    <x v="44"/>
    <x v="44"/>
    <x v="1"/>
    <x v="1"/>
    <x v="1"/>
    <x v="3"/>
    <x v="262"/>
    <x v="505"/>
    <x v="49"/>
    <x v="529"/>
    <x v="209"/>
    <x v="324"/>
    <x v="3"/>
  </r>
  <r>
    <x v="0"/>
    <x v="44"/>
    <x v="44"/>
    <x v="0"/>
    <x v="0"/>
    <x v="0"/>
    <x v="4"/>
    <x v="293"/>
    <x v="506"/>
    <x v="51"/>
    <x v="214"/>
    <x v="65"/>
    <x v="74"/>
    <x v="3"/>
  </r>
  <r>
    <x v="0"/>
    <x v="44"/>
    <x v="44"/>
    <x v="2"/>
    <x v="2"/>
    <x v="2"/>
    <x v="5"/>
    <x v="124"/>
    <x v="440"/>
    <x v="114"/>
    <x v="324"/>
    <x v="54"/>
    <x v="482"/>
    <x v="3"/>
  </r>
  <r>
    <x v="0"/>
    <x v="44"/>
    <x v="44"/>
    <x v="23"/>
    <x v="23"/>
    <x v="23"/>
    <x v="6"/>
    <x v="82"/>
    <x v="66"/>
    <x v="71"/>
    <x v="52"/>
    <x v="201"/>
    <x v="59"/>
    <x v="3"/>
  </r>
  <r>
    <x v="0"/>
    <x v="44"/>
    <x v="44"/>
    <x v="13"/>
    <x v="13"/>
    <x v="13"/>
    <x v="6"/>
    <x v="82"/>
    <x v="66"/>
    <x v="62"/>
    <x v="530"/>
    <x v="57"/>
    <x v="415"/>
    <x v="3"/>
  </r>
  <r>
    <x v="0"/>
    <x v="44"/>
    <x v="44"/>
    <x v="3"/>
    <x v="3"/>
    <x v="3"/>
    <x v="8"/>
    <x v="55"/>
    <x v="9"/>
    <x v="62"/>
    <x v="530"/>
    <x v="47"/>
    <x v="123"/>
    <x v="3"/>
  </r>
  <r>
    <x v="0"/>
    <x v="44"/>
    <x v="44"/>
    <x v="11"/>
    <x v="11"/>
    <x v="11"/>
    <x v="9"/>
    <x v="71"/>
    <x v="507"/>
    <x v="62"/>
    <x v="530"/>
    <x v="72"/>
    <x v="91"/>
    <x v="3"/>
  </r>
  <r>
    <x v="0"/>
    <x v="44"/>
    <x v="44"/>
    <x v="10"/>
    <x v="10"/>
    <x v="10"/>
    <x v="9"/>
    <x v="71"/>
    <x v="507"/>
    <x v="182"/>
    <x v="531"/>
    <x v="222"/>
    <x v="483"/>
    <x v="3"/>
  </r>
  <r>
    <x v="0"/>
    <x v="44"/>
    <x v="44"/>
    <x v="32"/>
    <x v="32"/>
    <x v="32"/>
    <x v="11"/>
    <x v="282"/>
    <x v="293"/>
    <x v="91"/>
    <x v="30"/>
    <x v="209"/>
    <x v="324"/>
    <x v="3"/>
  </r>
  <r>
    <x v="0"/>
    <x v="44"/>
    <x v="44"/>
    <x v="5"/>
    <x v="5"/>
    <x v="5"/>
    <x v="12"/>
    <x v="85"/>
    <x v="166"/>
    <x v="54"/>
    <x v="114"/>
    <x v="210"/>
    <x v="9"/>
    <x v="3"/>
  </r>
  <r>
    <x v="0"/>
    <x v="44"/>
    <x v="44"/>
    <x v="14"/>
    <x v="14"/>
    <x v="14"/>
    <x v="13"/>
    <x v="294"/>
    <x v="414"/>
    <x v="53"/>
    <x v="440"/>
    <x v="57"/>
    <x v="415"/>
    <x v="3"/>
  </r>
  <r>
    <x v="0"/>
    <x v="44"/>
    <x v="44"/>
    <x v="9"/>
    <x v="9"/>
    <x v="9"/>
    <x v="14"/>
    <x v="304"/>
    <x v="168"/>
    <x v="54"/>
    <x v="114"/>
    <x v="222"/>
    <x v="483"/>
    <x v="3"/>
  </r>
  <r>
    <x v="0"/>
    <x v="44"/>
    <x v="44"/>
    <x v="7"/>
    <x v="7"/>
    <x v="7"/>
    <x v="15"/>
    <x v="295"/>
    <x v="151"/>
    <x v="84"/>
    <x v="170"/>
    <x v="225"/>
    <x v="484"/>
    <x v="3"/>
  </r>
  <r>
    <x v="0"/>
    <x v="44"/>
    <x v="44"/>
    <x v="16"/>
    <x v="16"/>
    <x v="16"/>
    <x v="16"/>
    <x v="296"/>
    <x v="508"/>
    <x v="82"/>
    <x v="192"/>
    <x v="47"/>
    <x v="123"/>
    <x v="3"/>
  </r>
  <r>
    <x v="0"/>
    <x v="44"/>
    <x v="44"/>
    <x v="25"/>
    <x v="25"/>
    <x v="25"/>
    <x v="16"/>
    <x v="296"/>
    <x v="508"/>
    <x v="106"/>
    <x v="442"/>
    <x v="228"/>
    <x v="485"/>
    <x v="3"/>
  </r>
  <r>
    <x v="0"/>
    <x v="44"/>
    <x v="44"/>
    <x v="40"/>
    <x v="40"/>
    <x v="40"/>
    <x v="18"/>
    <x v="308"/>
    <x v="495"/>
    <x v="54"/>
    <x v="114"/>
    <x v="235"/>
    <x v="439"/>
    <x v="3"/>
  </r>
  <r>
    <x v="0"/>
    <x v="44"/>
    <x v="44"/>
    <x v="18"/>
    <x v="18"/>
    <x v="18"/>
    <x v="18"/>
    <x v="308"/>
    <x v="495"/>
    <x v="70"/>
    <x v="444"/>
    <x v="209"/>
    <x v="324"/>
    <x v="6"/>
  </r>
  <r>
    <x v="0"/>
    <x v="44"/>
    <x v="44"/>
    <x v="41"/>
    <x v="41"/>
    <x v="41"/>
    <x v="18"/>
    <x v="308"/>
    <x v="495"/>
    <x v="71"/>
    <x v="52"/>
    <x v="225"/>
    <x v="484"/>
    <x v="3"/>
  </r>
  <r>
    <x v="0"/>
    <x v="45"/>
    <x v="45"/>
    <x v="1"/>
    <x v="1"/>
    <x v="1"/>
    <x v="0"/>
    <x v="280"/>
    <x v="509"/>
    <x v="98"/>
    <x v="532"/>
    <x v="225"/>
    <x v="164"/>
    <x v="3"/>
  </r>
  <r>
    <x v="0"/>
    <x v="45"/>
    <x v="45"/>
    <x v="0"/>
    <x v="0"/>
    <x v="0"/>
    <x v="1"/>
    <x v="70"/>
    <x v="510"/>
    <x v="121"/>
    <x v="533"/>
    <x v="65"/>
    <x v="319"/>
    <x v="3"/>
  </r>
  <r>
    <x v="0"/>
    <x v="45"/>
    <x v="45"/>
    <x v="4"/>
    <x v="4"/>
    <x v="4"/>
    <x v="2"/>
    <x v="81"/>
    <x v="511"/>
    <x v="37"/>
    <x v="516"/>
    <x v="81"/>
    <x v="486"/>
    <x v="3"/>
  </r>
  <r>
    <x v="0"/>
    <x v="45"/>
    <x v="45"/>
    <x v="2"/>
    <x v="2"/>
    <x v="2"/>
    <x v="3"/>
    <x v="82"/>
    <x v="512"/>
    <x v="46"/>
    <x v="534"/>
    <x v="54"/>
    <x v="487"/>
    <x v="3"/>
  </r>
  <r>
    <x v="0"/>
    <x v="45"/>
    <x v="45"/>
    <x v="3"/>
    <x v="3"/>
    <x v="3"/>
    <x v="4"/>
    <x v="71"/>
    <x v="513"/>
    <x v="83"/>
    <x v="535"/>
    <x v="209"/>
    <x v="488"/>
    <x v="3"/>
  </r>
  <r>
    <x v="0"/>
    <x v="45"/>
    <x v="45"/>
    <x v="6"/>
    <x v="6"/>
    <x v="6"/>
    <x v="5"/>
    <x v="84"/>
    <x v="514"/>
    <x v="84"/>
    <x v="536"/>
    <x v="47"/>
    <x v="489"/>
    <x v="3"/>
  </r>
  <r>
    <x v="0"/>
    <x v="45"/>
    <x v="45"/>
    <x v="8"/>
    <x v="8"/>
    <x v="8"/>
    <x v="6"/>
    <x v="304"/>
    <x v="26"/>
    <x v="53"/>
    <x v="295"/>
    <x v="47"/>
    <x v="489"/>
    <x v="3"/>
  </r>
  <r>
    <x v="0"/>
    <x v="45"/>
    <x v="45"/>
    <x v="11"/>
    <x v="11"/>
    <x v="11"/>
    <x v="6"/>
    <x v="304"/>
    <x v="26"/>
    <x v="106"/>
    <x v="394"/>
    <x v="230"/>
    <x v="49"/>
    <x v="3"/>
  </r>
  <r>
    <x v="0"/>
    <x v="45"/>
    <x v="45"/>
    <x v="5"/>
    <x v="5"/>
    <x v="5"/>
    <x v="8"/>
    <x v="296"/>
    <x v="515"/>
    <x v="54"/>
    <x v="221"/>
    <x v="229"/>
    <x v="490"/>
    <x v="3"/>
  </r>
  <r>
    <x v="0"/>
    <x v="45"/>
    <x v="45"/>
    <x v="7"/>
    <x v="7"/>
    <x v="7"/>
    <x v="9"/>
    <x v="308"/>
    <x v="516"/>
    <x v="72"/>
    <x v="537"/>
    <x v="210"/>
    <x v="445"/>
    <x v="3"/>
  </r>
  <r>
    <x v="0"/>
    <x v="45"/>
    <x v="45"/>
    <x v="9"/>
    <x v="9"/>
    <x v="9"/>
    <x v="9"/>
    <x v="308"/>
    <x v="516"/>
    <x v="106"/>
    <x v="394"/>
    <x v="229"/>
    <x v="490"/>
    <x v="3"/>
  </r>
  <r>
    <x v="0"/>
    <x v="45"/>
    <x v="45"/>
    <x v="10"/>
    <x v="10"/>
    <x v="10"/>
    <x v="11"/>
    <x v="322"/>
    <x v="68"/>
    <x v="46"/>
    <x v="534"/>
    <x v="228"/>
    <x v="329"/>
    <x v="3"/>
  </r>
  <r>
    <x v="0"/>
    <x v="45"/>
    <x v="45"/>
    <x v="39"/>
    <x v="39"/>
    <x v="39"/>
    <x v="12"/>
    <x v="310"/>
    <x v="283"/>
    <x v="56"/>
    <x v="55"/>
    <x v="209"/>
    <x v="488"/>
    <x v="3"/>
  </r>
  <r>
    <x v="0"/>
    <x v="45"/>
    <x v="45"/>
    <x v="12"/>
    <x v="12"/>
    <x v="12"/>
    <x v="12"/>
    <x v="310"/>
    <x v="283"/>
    <x v="72"/>
    <x v="537"/>
    <x v="222"/>
    <x v="330"/>
    <x v="3"/>
  </r>
  <r>
    <x v="0"/>
    <x v="45"/>
    <x v="45"/>
    <x v="20"/>
    <x v="20"/>
    <x v="20"/>
    <x v="14"/>
    <x v="321"/>
    <x v="102"/>
    <x v="56"/>
    <x v="55"/>
    <x v="210"/>
    <x v="445"/>
    <x v="3"/>
  </r>
  <r>
    <x v="0"/>
    <x v="45"/>
    <x v="45"/>
    <x v="14"/>
    <x v="14"/>
    <x v="14"/>
    <x v="15"/>
    <x v="311"/>
    <x v="36"/>
    <x v="70"/>
    <x v="39"/>
    <x v="225"/>
    <x v="164"/>
    <x v="3"/>
  </r>
  <r>
    <x v="0"/>
    <x v="45"/>
    <x v="45"/>
    <x v="16"/>
    <x v="16"/>
    <x v="16"/>
    <x v="15"/>
    <x v="311"/>
    <x v="36"/>
    <x v="56"/>
    <x v="55"/>
    <x v="65"/>
    <x v="319"/>
    <x v="3"/>
  </r>
  <r>
    <x v="0"/>
    <x v="45"/>
    <x v="45"/>
    <x v="15"/>
    <x v="15"/>
    <x v="15"/>
    <x v="15"/>
    <x v="311"/>
    <x v="36"/>
    <x v="56"/>
    <x v="55"/>
    <x v="65"/>
    <x v="319"/>
    <x v="3"/>
  </r>
  <r>
    <x v="0"/>
    <x v="45"/>
    <x v="45"/>
    <x v="13"/>
    <x v="13"/>
    <x v="13"/>
    <x v="15"/>
    <x v="311"/>
    <x v="36"/>
    <x v="82"/>
    <x v="287"/>
    <x v="230"/>
    <x v="49"/>
    <x v="3"/>
  </r>
  <r>
    <x v="0"/>
    <x v="45"/>
    <x v="45"/>
    <x v="21"/>
    <x v="21"/>
    <x v="21"/>
    <x v="15"/>
    <x v="311"/>
    <x v="36"/>
    <x v="82"/>
    <x v="287"/>
    <x v="230"/>
    <x v="49"/>
    <x v="3"/>
  </r>
  <r>
    <x v="0"/>
    <x v="45"/>
    <x v="45"/>
    <x v="25"/>
    <x v="25"/>
    <x v="25"/>
    <x v="15"/>
    <x v="311"/>
    <x v="36"/>
    <x v="82"/>
    <x v="287"/>
    <x v="230"/>
    <x v="49"/>
    <x v="3"/>
  </r>
  <r>
    <x v="0"/>
    <x v="45"/>
    <x v="45"/>
    <x v="19"/>
    <x v="19"/>
    <x v="19"/>
    <x v="15"/>
    <x v="311"/>
    <x v="36"/>
    <x v="70"/>
    <x v="39"/>
    <x v="225"/>
    <x v="164"/>
    <x v="3"/>
  </r>
  <r>
    <x v="0"/>
    <x v="46"/>
    <x v="46"/>
    <x v="2"/>
    <x v="2"/>
    <x v="2"/>
    <x v="0"/>
    <x v="102"/>
    <x v="517"/>
    <x v="51"/>
    <x v="538"/>
    <x v="150"/>
    <x v="491"/>
    <x v="3"/>
  </r>
  <r>
    <x v="0"/>
    <x v="46"/>
    <x v="46"/>
    <x v="0"/>
    <x v="0"/>
    <x v="0"/>
    <x v="1"/>
    <x v="142"/>
    <x v="518"/>
    <x v="185"/>
    <x v="539"/>
    <x v="47"/>
    <x v="104"/>
    <x v="3"/>
  </r>
  <r>
    <x v="0"/>
    <x v="46"/>
    <x v="46"/>
    <x v="1"/>
    <x v="1"/>
    <x v="1"/>
    <x v="2"/>
    <x v="63"/>
    <x v="519"/>
    <x v="146"/>
    <x v="540"/>
    <x v="227"/>
    <x v="159"/>
    <x v="3"/>
  </r>
  <r>
    <x v="0"/>
    <x v="46"/>
    <x v="46"/>
    <x v="6"/>
    <x v="6"/>
    <x v="6"/>
    <x v="3"/>
    <x v="77"/>
    <x v="520"/>
    <x v="69"/>
    <x v="541"/>
    <x v="117"/>
    <x v="163"/>
    <x v="3"/>
  </r>
  <r>
    <x v="0"/>
    <x v="46"/>
    <x v="46"/>
    <x v="3"/>
    <x v="3"/>
    <x v="3"/>
    <x v="4"/>
    <x v="66"/>
    <x v="521"/>
    <x v="52"/>
    <x v="542"/>
    <x v="223"/>
    <x v="351"/>
    <x v="3"/>
  </r>
  <r>
    <x v="0"/>
    <x v="46"/>
    <x v="46"/>
    <x v="5"/>
    <x v="5"/>
    <x v="5"/>
    <x v="5"/>
    <x v="80"/>
    <x v="188"/>
    <x v="66"/>
    <x v="543"/>
    <x v="48"/>
    <x v="168"/>
    <x v="3"/>
  </r>
  <r>
    <x v="0"/>
    <x v="46"/>
    <x v="46"/>
    <x v="8"/>
    <x v="8"/>
    <x v="8"/>
    <x v="6"/>
    <x v="280"/>
    <x v="506"/>
    <x v="82"/>
    <x v="192"/>
    <x v="98"/>
    <x v="492"/>
    <x v="3"/>
  </r>
  <r>
    <x v="0"/>
    <x v="46"/>
    <x v="46"/>
    <x v="11"/>
    <x v="11"/>
    <x v="11"/>
    <x v="7"/>
    <x v="69"/>
    <x v="127"/>
    <x v="52"/>
    <x v="542"/>
    <x v="109"/>
    <x v="157"/>
    <x v="3"/>
  </r>
  <r>
    <x v="0"/>
    <x v="46"/>
    <x v="46"/>
    <x v="4"/>
    <x v="4"/>
    <x v="4"/>
    <x v="8"/>
    <x v="293"/>
    <x v="93"/>
    <x v="71"/>
    <x v="85"/>
    <x v="108"/>
    <x v="424"/>
    <x v="3"/>
  </r>
  <r>
    <x v="0"/>
    <x v="46"/>
    <x v="46"/>
    <x v="23"/>
    <x v="23"/>
    <x v="23"/>
    <x v="9"/>
    <x v="282"/>
    <x v="378"/>
    <x v="37"/>
    <x v="306"/>
    <x v="205"/>
    <x v="93"/>
    <x v="3"/>
  </r>
  <r>
    <x v="0"/>
    <x v="46"/>
    <x v="46"/>
    <x v="9"/>
    <x v="9"/>
    <x v="9"/>
    <x v="9"/>
    <x v="282"/>
    <x v="378"/>
    <x v="69"/>
    <x v="541"/>
    <x v="65"/>
    <x v="244"/>
    <x v="3"/>
  </r>
  <r>
    <x v="0"/>
    <x v="46"/>
    <x v="46"/>
    <x v="26"/>
    <x v="26"/>
    <x v="26"/>
    <x v="11"/>
    <x v="84"/>
    <x v="198"/>
    <x v="72"/>
    <x v="465"/>
    <x v="205"/>
    <x v="93"/>
    <x v="3"/>
  </r>
  <r>
    <x v="0"/>
    <x v="46"/>
    <x v="46"/>
    <x v="10"/>
    <x v="10"/>
    <x v="10"/>
    <x v="12"/>
    <x v="85"/>
    <x v="404"/>
    <x v="54"/>
    <x v="313"/>
    <x v="210"/>
    <x v="357"/>
    <x v="3"/>
  </r>
  <r>
    <x v="0"/>
    <x v="46"/>
    <x v="46"/>
    <x v="16"/>
    <x v="16"/>
    <x v="16"/>
    <x v="13"/>
    <x v="126"/>
    <x v="115"/>
    <x v="72"/>
    <x v="465"/>
    <x v="227"/>
    <x v="159"/>
    <x v="3"/>
  </r>
  <r>
    <x v="0"/>
    <x v="46"/>
    <x v="46"/>
    <x v="25"/>
    <x v="25"/>
    <x v="25"/>
    <x v="13"/>
    <x v="126"/>
    <x v="115"/>
    <x v="46"/>
    <x v="544"/>
    <x v="72"/>
    <x v="493"/>
    <x v="3"/>
  </r>
  <r>
    <x v="0"/>
    <x v="46"/>
    <x v="46"/>
    <x v="7"/>
    <x v="7"/>
    <x v="7"/>
    <x v="15"/>
    <x v="294"/>
    <x v="379"/>
    <x v="71"/>
    <x v="85"/>
    <x v="107"/>
    <x v="423"/>
    <x v="3"/>
  </r>
  <r>
    <x v="0"/>
    <x v="46"/>
    <x v="46"/>
    <x v="17"/>
    <x v="17"/>
    <x v="17"/>
    <x v="16"/>
    <x v="295"/>
    <x v="120"/>
    <x v="79"/>
    <x v="54"/>
    <x v="47"/>
    <x v="104"/>
    <x v="3"/>
  </r>
  <r>
    <x v="0"/>
    <x v="46"/>
    <x v="46"/>
    <x v="12"/>
    <x v="12"/>
    <x v="12"/>
    <x v="16"/>
    <x v="295"/>
    <x v="120"/>
    <x v="53"/>
    <x v="355"/>
    <x v="72"/>
    <x v="493"/>
    <x v="3"/>
  </r>
  <r>
    <x v="0"/>
    <x v="46"/>
    <x v="46"/>
    <x v="15"/>
    <x v="15"/>
    <x v="15"/>
    <x v="16"/>
    <x v="295"/>
    <x v="120"/>
    <x v="70"/>
    <x v="444"/>
    <x v="227"/>
    <x v="159"/>
    <x v="3"/>
  </r>
  <r>
    <x v="0"/>
    <x v="46"/>
    <x v="46"/>
    <x v="20"/>
    <x v="20"/>
    <x v="20"/>
    <x v="16"/>
    <x v="295"/>
    <x v="120"/>
    <x v="79"/>
    <x v="54"/>
    <x v="47"/>
    <x v="104"/>
    <x v="3"/>
  </r>
  <r>
    <x v="0"/>
    <x v="47"/>
    <x v="47"/>
    <x v="6"/>
    <x v="6"/>
    <x v="6"/>
    <x v="0"/>
    <x v="79"/>
    <x v="460"/>
    <x v="61"/>
    <x v="545"/>
    <x v="223"/>
    <x v="494"/>
    <x v="3"/>
  </r>
  <r>
    <x v="0"/>
    <x v="47"/>
    <x v="47"/>
    <x v="8"/>
    <x v="8"/>
    <x v="8"/>
    <x v="1"/>
    <x v="67"/>
    <x v="320"/>
    <x v="91"/>
    <x v="546"/>
    <x v="207"/>
    <x v="495"/>
    <x v="3"/>
  </r>
  <r>
    <x v="0"/>
    <x v="47"/>
    <x v="47"/>
    <x v="23"/>
    <x v="23"/>
    <x v="23"/>
    <x v="2"/>
    <x v="69"/>
    <x v="522"/>
    <x v="54"/>
    <x v="456"/>
    <x v="223"/>
    <x v="494"/>
    <x v="3"/>
  </r>
  <r>
    <x v="0"/>
    <x v="47"/>
    <x v="47"/>
    <x v="4"/>
    <x v="4"/>
    <x v="4"/>
    <x v="3"/>
    <x v="281"/>
    <x v="523"/>
    <x v="54"/>
    <x v="456"/>
    <x v="56"/>
    <x v="496"/>
    <x v="3"/>
  </r>
  <r>
    <x v="0"/>
    <x v="47"/>
    <x v="47"/>
    <x v="0"/>
    <x v="0"/>
    <x v="0"/>
    <x v="4"/>
    <x v="81"/>
    <x v="524"/>
    <x v="80"/>
    <x v="547"/>
    <x v="230"/>
    <x v="497"/>
    <x v="3"/>
  </r>
  <r>
    <x v="0"/>
    <x v="47"/>
    <x v="47"/>
    <x v="1"/>
    <x v="1"/>
    <x v="1"/>
    <x v="5"/>
    <x v="54"/>
    <x v="525"/>
    <x v="67"/>
    <x v="548"/>
    <x v="222"/>
    <x v="409"/>
    <x v="3"/>
  </r>
  <r>
    <x v="0"/>
    <x v="47"/>
    <x v="47"/>
    <x v="32"/>
    <x v="32"/>
    <x v="32"/>
    <x v="6"/>
    <x v="84"/>
    <x v="159"/>
    <x v="84"/>
    <x v="97"/>
    <x v="47"/>
    <x v="184"/>
    <x v="3"/>
  </r>
  <r>
    <x v="0"/>
    <x v="47"/>
    <x v="47"/>
    <x v="11"/>
    <x v="11"/>
    <x v="11"/>
    <x v="6"/>
    <x v="84"/>
    <x v="159"/>
    <x v="114"/>
    <x v="411"/>
    <x v="65"/>
    <x v="498"/>
    <x v="3"/>
  </r>
  <r>
    <x v="0"/>
    <x v="47"/>
    <x v="47"/>
    <x v="3"/>
    <x v="3"/>
    <x v="3"/>
    <x v="6"/>
    <x v="84"/>
    <x v="159"/>
    <x v="106"/>
    <x v="549"/>
    <x v="107"/>
    <x v="367"/>
    <x v="3"/>
  </r>
  <r>
    <x v="0"/>
    <x v="47"/>
    <x v="47"/>
    <x v="2"/>
    <x v="2"/>
    <x v="2"/>
    <x v="6"/>
    <x v="84"/>
    <x v="159"/>
    <x v="71"/>
    <x v="550"/>
    <x v="227"/>
    <x v="174"/>
    <x v="3"/>
  </r>
  <r>
    <x v="0"/>
    <x v="47"/>
    <x v="47"/>
    <x v="25"/>
    <x v="25"/>
    <x v="25"/>
    <x v="10"/>
    <x v="303"/>
    <x v="394"/>
    <x v="106"/>
    <x v="549"/>
    <x v="65"/>
    <x v="498"/>
    <x v="3"/>
  </r>
  <r>
    <x v="0"/>
    <x v="47"/>
    <x v="47"/>
    <x v="10"/>
    <x v="10"/>
    <x v="10"/>
    <x v="11"/>
    <x v="294"/>
    <x v="526"/>
    <x v="54"/>
    <x v="456"/>
    <x v="229"/>
    <x v="499"/>
    <x v="3"/>
  </r>
  <r>
    <x v="0"/>
    <x v="47"/>
    <x v="47"/>
    <x v="9"/>
    <x v="9"/>
    <x v="9"/>
    <x v="12"/>
    <x v="304"/>
    <x v="98"/>
    <x v="69"/>
    <x v="350"/>
    <x v="235"/>
    <x v="439"/>
    <x v="3"/>
  </r>
  <r>
    <x v="0"/>
    <x v="47"/>
    <x v="47"/>
    <x v="14"/>
    <x v="14"/>
    <x v="14"/>
    <x v="13"/>
    <x v="295"/>
    <x v="31"/>
    <x v="82"/>
    <x v="70"/>
    <x v="57"/>
    <x v="154"/>
    <x v="3"/>
  </r>
  <r>
    <x v="0"/>
    <x v="47"/>
    <x v="47"/>
    <x v="5"/>
    <x v="5"/>
    <x v="5"/>
    <x v="13"/>
    <x v="295"/>
    <x v="31"/>
    <x v="84"/>
    <x v="97"/>
    <x v="225"/>
    <x v="111"/>
    <x v="3"/>
  </r>
  <r>
    <x v="0"/>
    <x v="47"/>
    <x v="47"/>
    <x v="28"/>
    <x v="28"/>
    <x v="28"/>
    <x v="13"/>
    <x v="295"/>
    <x v="31"/>
    <x v="82"/>
    <x v="70"/>
    <x v="57"/>
    <x v="154"/>
    <x v="3"/>
  </r>
  <r>
    <x v="0"/>
    <x v="47"/>
    <x v="47"/>
    <x v="33"/>
    <x v="33"/>
    <x v="33"/>
    <x v="16"/>
    <x v="296"/>
    <x v="197"/>
    <x v="37"/>
    <x v="45"/>
    <x v="210"/>
    <x v="214"/>
    <x v="3"/>
  </r>
  <r>
    <x v="0"/>
    <x v="47"/>
    <x v="47"/>
    <x v="39"/>
    <x v="39"/>
    <x v="39"/>
    <x v="16"/>
    <x v="296"/>
    <x v="197"/>
    <x v="70"/>
    <x v="319"/>
    <x v="57"/>
    <x v="154"/>
    <x v="3"/>
  </r>
  <r>
    <x v="0"/>
    <x v="47"/>
    <x v="47"/>
    <x v="31"/>
    <x v="31"/>
    <x v="31"/>
    <x v="18"/>
    <x v="322"/>
    <x v="118"/>
    <x v="72"/>
    <x v="551"/>
    <x v="225"/>
    <x v="111"/>
    <x v="3"/>
  </r>
  <r>
    <x v="0"/>
    <x v="47"/>
    <x v="47"/>
    <x v="30"/>
    <x v="30"/>
    <x v="30"/>
    <x v="18"/>
    <x v="322"/>
    <x v="118"/>
    <x v="79"/>
    <x v="426"/>
    <x v="210"/>
    <x v="214"/>
    <x v="3"/>
  </r>
  <r>
    <x v="0"/>
    <x v="47"/>
    <x v="47"/>
    <x v="40"/>
    <x v="40"/>
    <x v="40"/>
    <x v="18"/>
    <x v="322"/>
    <x v="118"/>
    <x v="55"/>
    <x v="552"/>
    <x v="235"/>
    <x v="439"/>
    <x v="3"/>
  </r>
  <r>
    <x v="0"/>
    <x v="47"/>
    <x v="47"/>
    <x v="17"/>
    <x v="17"/>
    <x v="17"/>
    <x v="18"/>
    <x v="322"/>
    <x v="118"/>
    <x v="56"/>
    <x v="55"/>
    <x v="72"/>
    <x v="261"/>
    <x v="3"/>
  </r>
  <r>
    <x v="0"/>
    <x v="48"/>
    <x v="48"/>
    <x v="2"/>
    <x v="2"/>
    <x v="2"/>
    <x v="0"/>
    <x v="68"/>
    <x v="408"/>
    <x v="82"/>
    <x v="553"/>
    <x v="234"/>
    <x v="500"/>
    <x v="3"/>
  </r>
  <r>
    <x v="0"/>
    <x v="48"/>
    <x v="48"/>
    <x v="4"/>
    <x v="4"/>
    <x v="4"/>
    <x v="1"/>
    <x v="70"/>
    <x v="527"/>
    <x v="79"/>
    <x v="154"/>
    <x v="41"/>
    <x v="372"/>
    <x v="3"/>
  </r>
  <r>
    <x v="0"/>
    <x v="48"/>
    <x v="48"/>
    <x v="3"/>
    <x v="3"/>
    <x v="3"/>
    <x v="1"/>
    <x v="70"/>
    <x v="527"/>
    <x v="91"/>
    <x v="554"/>
    <x v="40"/>
    <x v="501"/>
    <x v="3"/>
  </r>
  <r>
    <x v="0"/>
    <x v="48"/>
    <x v="48"/>
    <x v="1"/>
    <x v="1"/>
    <x v="1"/>
    <x v="3"/>
    <x v="241"/>
    <x v="141"/>
    <x v="113"/>
    <x v="555"/>
    <x v="209"/>
    <x v="164"/>
    <x v="3"/>
  </r>
  <r>
    <x v="0"/>
    <x v="48"/>
    <x v="48"/>
    <x v="6"/>
    <x v="6"/>
    <x v="6"/>
    <x v="4"/>
    <x v="72"/>
    <x v="528"/>
    <x v="71"/>
    <x v="556"/>
    <x v="109"/>
    <x v="502"/>
    <x v="3"/>
  </r>
  <r>
    <x v="0"/>
    <x v="48"/>
    <x v="48"/>
    <x v="8"/>
    <x v="8"/>
    <x v="8"/>
    <x v="5"/>
    <x v="125"/>
    <x v="529"/>
    <x v="82"/>
    <x v="553"/>
    <x v="54"/>
    <x v="297"/>
    <x v="3"/>
  </r>
  <r>
    <x v="0"/>
    <x v="48"/>
    <x v="48"/>
    <x v="5"/>
    <x v="5"/>
    <x v="5"/>
    <x v="5"/>
    <x v="125"/>
    <x v="529"/>
    <x v="50"/>
    <x v="557"/>
    <x v="225"/>
    <x v="294"/>
    <x v="3"/>
  </r>
  <r>
    <x v="0"/>
    <x v="48"/>
    <x v="48"/>
    <x v="0"/>
    <x v="0"/>
    <x v="0"/>
    <x v="7"/>
    <x v="282"/>
    <x v="214"/>
    <x v="69"/>
    <x v="558"/>
    <x v="65"/>
    <x v="314"/>
    <x v="3"/>
  </r>
  <r>
    <x v="0"/>
    <x v="48"/>
    <x v="48"/>
    <x v="11"/>
    <x v="11"/>
    <x v="11"/>
    <x v="8"/>
    <x v="84"/>
    <x v="248"/>
    <x v="54"/>
    <x v="116"/>
    <x v="209"/>
    <x v="164"/>
    <x v="3"/>
  </r>
  <r>
    <x v="0"/>
    <x v="48"/>
    <x v="48"/>
    <x v="17"/>
    <x v="17"/>
    <x v="17"/>
    <x v="9"/>
    <x v="294"/>
    <x v="515"/>
    <x v="79"/>
    <x v="154"/>
    <x v="227"/>
    <x v="503"/>
    <x v="3"/>
  </r>
  <r>
    <x v="0"/>
    <x v="48"/>
    <x v="48"/>
    <x v="10"/>
    <x v="10"/>
    <x v="10"/>
    <x v="10"/>
    <x v="295"/>
    <x v="456"/>
    <x v="106"/>
    <x v="44"/>
    <x v="222"/>
    <x v="110"/>
    <x v="3"/>
  </r>
  <r>
    <x v="0"/>
    <x v="48"/>
    <x v="48"/>
    <x v="7"/>
    <x v="7"/>
    <x v="7"/>
    <x v="11"/>
    <x v="308"/>
    <x v="99"/>
    <x v="53"/>
    <x v="559"/>
    <x v="209"/>
    <x v="164"/>
    <x v="3"/>
  </r>
  <r>
    <x v="0"/>
    <x v="48"/>
    <x v="48"/>
    <x v="9"/>
    <x v="9"/>
    <x v="9"/>
    <x v="12"/>
    <x v="309"/>
    <x v="69"/>
    <x v="84"/>
    <x v="560"/>
    <x v="228"/>
    <x v="504"/>
    <x v="3"/>
  </r>
  <r>
    <x v="0"/>
    <x v="48"/>
    <x v="48"/>
    <x v="39"/>
    <x v="39"/>
    <x v="39"/>
    <x v="13"/>
    <x v="322"/>
    <x v="530"/>
    <x v="56"/>
    <x v="55"/>
    <x v="72"/>
    <x v="505"/>
    <x v="3"/>
  </r>
  <r>
    <x v="0"/>
    <x v="48"/>
    <x v="48"/>
    <x v="41"/>
    <x v="41"/>
    <x v="41"/>
    <x v="13"/>
    <x v="322"/>
    <x v="530"/>
    <x v="53"/>
    <x v="559"/>
    <x v="65"/>
    <x v="314"/>
    <x v="3"/>
  </r>
  <r>
    <x v="0"/>
    <x v="48"/>
    <x v="48"/>
    <x v="28"/>
    <x v="28"/>
    <x v="28"/>
    <x v="15"/>
    <x v="320"/>
    <x v="224"/>
    <x v="82"/>
    <x v="553"/>
    <x v="210"/>
    <x v="36"/>
    <x v="3"/>
  </r>
  <r>
    <x v="0"/>
    <x v="48"/>
    <x v="48"/>
    <x v="15"/>
    <x v="15"/>
    <x v="15"/>
    <x v="15"/>
    <x v="320"/>
    <x v="224"/>
    <x v="56"/>
    <x v="55"/>
    <x v="107"/>
    <x v="123"/>
    <x v="3"/>
  </r>
  <r>
    <x v="0"/>
    <x v="48"/>
    <x v="48"/>
    <x v="20"/>
    <x v="20"/>
    <x v="20"/>
    <x v="15"/>
    <x v="320"/>
    <x v="224"/>
    <x v="56"/>
    <x v="55"/>
    <x v="107"/>
    <x v="123"/>
    <x v="3"/>
  </r>
  <r>
    <x v="0"/>
    <x v="48"/>
    <x v="48"/>
    <x v="18"/>
    <x v="18"/>
    <x v="18"/>
    <x v="15"/>
    <x v="320"/>
    <x v="224"/>
    <x v="82"/>
    <x v="553"/>
    <x v="210"/>
    <x v="36"/>
    <x v="3"/>
  </r>
  <r>
    <x v="0"/>
    <x v="48"/>
    <x v="48"/>
    <x v="25"/>
    <x v="25"/>
    <x v="25"/>
    <x v="19"/>
    <x v="310"/>
    <x v="531"/>
    <x v="72"/>
    <x v="561"/>
    <x v="222"/>
    <x v="110"/>
    <x v="3"/>
  </r>
  <r>
    <x v="0"/>
    <x v="49"/>
    <x v="49"/>
    <x v="0"/>
    <x v="0"/>
    <x v="0"/>
    <x v="0"/>
    <x v="84"/>
    <x v="532"/>
    <x v="54"/>
    <x v="562"/>
    <x v="209"/>
    <x v="310"/>
    <x v="3"/>
  </r>
  <r>
    <x v="0"/>
    <x v="49"/>
    <x v="49"/>
    <x v="4"/>
    <x v="4"/>
    <x v="4"/>
    <x v="1"/>
    <x v="303"/>
    <x v="533"/>
    <x v="79"/>
    <x v="563"/>
    <x v="48"/>
    <x v="506"/>
    <x v="3"/>
  </r>
  <r>
    <x v="0"/>
    <x v="49"/>
    <x v="49"/>
    <x v="11"/>
    <x v="11"/>
    <x v="11"/>
    <x v="2"/>
    <x v="295"/>
    <x v="534"/>
    <x v="72"/>
    <x v="564"/>
    <x v="107"/>
    <x v="163"/>
    <x v="3"/>
  </r>
  <r>
    <x v="0"/>
    <x v="49"/>
    <x v="49"/>
    <x v="3"/>
    <x v="3"/>
    <x v="3"/>
    <x v="2"/>
    <x v="295"/>
    <x v="534"/>
    <x v="79"/>
    <x v="563"/>
    <x v="47"/>
    <x v="507"/>
    <x v="3"/>
  </r>
  <r>
    <x v="0"/>
    <x v="49"/>
    <x v="49"/>
    <x v="5"/>
    <x v="5"/>
    <x v="5"/>
    <x v="4"/>
    <x v="308"/>
    <x v="535"/>
    <x v="55"/>
    <x v="565"/>
    <x v="228"/>
    <x v="508"/>
    <x v="3"/>
  </r>
  <r>
    <x v="0"/>
    <x v="49"/>
    <x v="49"/>
    <x v="6"/>
    <x v="6"/>
    <x v="6"/>
    <x v="5"/>
    <x v="309"/>
    <x v="419"/>
    <x v="79"/>
    <x v="563"/>
    <x v="209"/>
    <x v="310"/>
    <x v="3"/>
  </r>
  <r>
    <x v="0"/>
    <x v="49"/>
    <x v="49"/>
    <x v="8"/>
    <x v="8"/>
    <x v="8"/>
    <x v="6"/>
    <x v="322"/>
    <x v="536"/>
    <x v="72"/>
    <x v="564"/>
    <x v="225"/>
    <x v="509"/>
    <x v="3"/>
  </r>
  <r>
    <x v="0"/>
    <x v="49"/>
    <x v="49"/>
    <x v="17"/>
    <x v="17"/>
    <x v="17"/>
    <x v="7"/>
    <x v="311"/>
    <x v="194"/>
    <x v="56"/>
    <x v="55"/>
    <x v="65"/>
    <x v="86"/>
    <x v="3"/>
  </r>
  <r>
    <x v="0"/>
    <x v="49"/>
    <x v="49"/>
    <x v="12"/>
    <x v="12"/>
    <x v="12"/>
    <x v="7"/>
    <x v="311"/>
    <x v="194"/>
    <x v="70"/>
    <x v="218"/>
    <x v="225"/>
    <x v="509"/>
    <x v="3"/>
  </r>
  <r>
    <x v="0"/>
    <x v="49"/>
    <x v="49"/>
    <x v="1"/>
    <x v="1"/>
    <x v="1"/>
    <x v="7"/>
    <x v="311"/>
    <x v="194"/>
    <x v="53"/>
    <x v="566"/>
    <x v="228"/>
    <x v="508"/>
    <x v="3"/>
  </r>
  <r>
    <x v="0"/>
    <x v="49"/>
    <x v="49"/>
    <x v="9"/>
    <x v="9"/>
    <x v="9"/>
    <x v="7"/>
    <x v="311"/>
    <x v="194"/>
    <x v="37"/>
    <x v="567"/>
    <x v="235"/>
    <x v="439"/>
    <x v="3"/>
  </r>
  <r>
    <x v="0"/>
    <x v="49"/>
    <x v="49"/>
    <x v="25"/>
    <x v="25"/>
    <x v="25"/>
    <x v="7"/>
    <x v="311"/>
    <x v="194"/>
    <x v="72"/>
    <x v="564"/>
    <x v="229"/>
    <x v="510"/>
    <x v="3"/>
  </r>
  <r>
    <x v="0"/>
    <x v="49"/>
    <x v="49"/>
    <x v="16"/>
    <x v="16"/>
    <x v="16"/>
    <x v="12"/>
    <x v="323"/>
    <x v="423"/>
    <x v="56"/>
    <x v="55"/>
    <x v="225"/>
    <x v="509"/>
    <x v="3"/>
  </r>
  <r>
    <x v="0"/>
    <x v="49"/>
    <x v="49"/>
    <x v="2"/>
    <x v="2"/>
    <x v="2"/>
    <x v="12"/>
    <x v="323"/>
    <x v="423"/>
    <x v="70"/>
    <x v="218"/>
    <x v="230"/>
    <x v="64"/>
    <x v="3"/>
  </r>
  <r>
    <x v="0"/>
    <x v="49"/>
    <x v="49"/>
    <x v="34"/>
    <x v="34"/>
    <x v="34"/>
    <x v="14"/>
    <x v="324"/>
    <x v="51"/>
    <x v="70"/>
    <x v="218"/>
    <x v="222"/>
    <x v="181"/>
    <x v="3"/>
  </r>
  <r>
    <x v="0"/>
    <x v="49"/>
    <x v="49"/>
    <x v="39"/>
    <x v="39"/>
    <x v="39"/>
    <x v="14"/>
    <x v="324"/>
    <x v="51"/>
    <x v="70"/>
    <x v="218"/>
    <x v="222"/>
    <x v="181"/>
    <x v="3"/>
  </r>
  <r>
    <x v="0"/>
    <x v="49"/>
    <x v="49"/>
    <x v="14"/>
    <x v="14"/>
    <x v="14"/>
    <x v="14"/>
    <x v="324"/>
    <x v="51"/>
    <x v="56"/>
    <x v="55"/>
    <x v="230"/>
    <x v="64"/>
    <x v="3"/>
  </r>
  <r>
    <x v="0"/>
    <x v="49"/>
    <x v="49"/>
    <x v="42"/>
    <x v="42"/>
    <x v="42"/>
    <x v="14"/>
    <x v="324"/>
    <x v="51"/>
    <x v="56"/>
    <x v="55"/>
    <x v="230"/>
    <x v="64"/>
    <x v="3"/>
  </r>
  <r>
    <x v="0"/>
    <x v="49"/>
    <x v="49"/>
    <x v="20"/>
    <x v="20"/>
    <x v="20"/>
    <x v="14"/>
    <x v="324"/>
    <x v="51"/>
    <x v="82"/>
    <x v="568"/>
    <x v="228"/>
    <x v="508"/>
    <x v="3"/>
  </r>
  <r>
    <x v="0"/>
    <x v="49"/>
    <x v="49"/>
    <x v="23"/>
    <x v="23"/>
    <x v="23"/>
    <x v="19"/>
    <x v="325"/>
    <x v="537"/>
    <x v="70"/>
    <x v="218"/>
    <x v="228"/>
    <x v="508"/>
    <x v="3"/>
  </r>
  <r>
    <x v="0"/>
    <x v="49"/>
    <x v="49"/>
    <x v="13"/>
    <x v="13"/>
    <x v="13"/>
    <x v="19"/>
    <x v="325"/>
    <x v="537"/>
    <x v="70"/>
    <x v="218"/>
    <x v="228"/>
    <x v="508"/>
    <x v="3"/>
  </r>
  <r>
    <x v="0"/>
    <x v="49"/>
    <x v="49"/>
    <x v="29"/>
    <x v="29"/>
    <x v="29"/>
    <x v="19"/>
    <x v="325"/>
    <x v="537"/>
    <x v="56"/>
    <x v="55"/>
    <x v="222"/>
    <x v="181"/>
    <x v="3"/>
  </r>
  <r>
    <x v="0"/>
    <x v="49"/>
    <x v="49"/>
    <x v="18"/>
    <x v="18"/>
    <x v="18"/>
    <x v="19"/>
    <x v="325"/>
    <x v="537"/>
    <x v="56"/>
    <x v="55"/>
    <x v="229"/>
    <x v="510"/>
    <x v="3"/>
  </r>
  <r>
    <x v="0"/>
    <x v="49"/>
    <x v="49"/>
    <x v="19"/>
    <x v="19"/>
    <x v="19"/>
    <x v="19"/>
    <x v="325"/>
    <x v="537"/>
    <x v="56"/>
    <x v="55"/>
    <x v="222"/>
    <x v="181"/>
    <x v="3"/>
  </r>
  <r>
    <x v="0"/>
    <x v="50"/>
    <x v="50"/>
    <x v="1"/>
    <x v="1"/>
    <x v="1"/>
    <x v="0"/>
    <x v="253"/>
    <x v="538"/>
    <x v="105"/>
    <x v="569"/>
    <x v="227"/>
    <x v="418"/>
    <x v="3"/>
  </r>
  <r>
    <x v="0"/>
    <x v="50"/>
    <x v="50"/>
    <x v="3"/>
    <x v="3"/>
    <x v="3"/>
    <x v="1"/>
    <x v="114"/>
    <x v="539"/>
    <x v="50"/>
    <x v="415"/>
    <x v="234"/>
    <x v="130"/>
    <x v="3"/>
  </r>
  <r>
    <x v="0"/>
    <x v="50"/>
    <x v="50"/>
    <x v="2"/>
    <x v="2"/>
    <x v="2"/>
    <x v="2"/>
    <x v="77"/>
    <x v="540"/>
    <x v="72"/>
    <x v="260"/>
    <x v="64"/>
    <x v="316"/>
    <x v="3"/>
  </r>
  <r>
    <x v="0"/>
    <x v="50"/>
    <x v="50"/>
    <x v="6"/>
    <x v="6"/>
    <x v="6"/>
    <x v="3"/>
    <x v="79"/>
    <x v="419"/>
    <x v="46"/>
    <x v="32"/>
    <x v="234"/>
    <x v="130"/>
    <x v="3"/>
  </r>
  <r>
    <x v="0"/>
    <x v="50"/>
    <x v="50"/>
    <x v="4"/>
    <x v="4"/>
    <x v="4"/>
    <x v="4"/>
    <x v="67"/>
    <x v="428"/>
    <x v="71"/>
    <x v="570"/>
    <x v="234"/>
    <x v="130"/>
    <x v="3"/>
  </r>
  <r>
    <x v="0"/>
    <x v="50"/>
    <x v="50"/>
    <x v="0"/>
    <x v="0"/>
    <x v="0"/>
    <x v="5"/>
    <x v="80"/>
    <x v="541"/>
    <x v="135"/>
    <x v="571"/>
    <x v="228"/>
    <x v="313"/>
    <x v="3"/>
  </r>
  <r>
    <x v="0"/>
    <x v="50"/>
    <x v="50"/>
    <x v="8"/>
    <x v="8"/>
    <x v="8"/>
    <x v="6"/>
    <x v="234"/>
    <x v="79"/>
    <x v="53"/>
    <x v="414"/>
    <x v="145"/>
    <x v="511"/>
    <x v="3"/>
  </r>
  <r>
    <x v="0"/>
    <x v="50"/>
    <x v="50"/>
    <x v="12"/>
    <x v="12"/>
    <x v="12"/>
    <x v="7"/>
    <x v="69"/>
    <x v="542"/>
    <x v="72"/>
    <x v="260"/>
    <x v="95"/>
    <x v="512"/>
    <x v="3"/>
  </r>
  <r>
    <x v="0"/>
    <x v="50"/>
    <x v="50"/>
    <x v="11"/>
    <x v="11"/>
    <x v="11"/>
    <x v="8"/>
    <x v="241"/>
    <x v="543"/>
    <x v="62"/>
    <x v="372"/>
    <x v="109"/>
    <x v="194"/>
    <x v="3"/>
  </r>
  <r>
    <x v="0"/>
    <x v="50"/>
    <x v="50"/>
    <x v="7"/>
    <x v="7"/>
    <x v="7"/>
    <x v="9"/>
    <x v="81"/>
    <x v="219"/>
    <x v="68"/>
    <x v="148"/>
    <x v="72"/>
    <x v="513"/>
    <x v="3"/>
  </r>
  <r>
    <x v="0"/>
    <x v="50"/>
    <x v="50"/>
    <x v="14"/>
    <x v="14"/>
    <x v="14"/>
    <x v="10"/>
    <x v="55"/>
    <x v="334"/>
    <x v="37"/>
    <x v="295"/>
    <x v="201"/>
    <x v="514"/>
    <x v="3"/>
  </r>
  <r>
    <x v="0"/>
    <x v="50"/>
    <x v="50"/>
    <x v="16"/>
    <x v="16"/>
    <x v="16"/>
    <x v="11"/>
    <x v="56"/>
    <x v="314"/>
    <x v="82"/>
    <x v="123"/>
    <x v="55"/>
    <x v="515"/>
    <x v="3"/>
  </r>
  <r>
    <x v="0"/>
    <x v="50"/>
    <x v="50"/>
    <x v="17"/>
    <x v="17"/>
    <x v="17"/>
    <x v="12"/>
    <x v="72"/>
    <x v="165"/>
    <x v="82"/>
    <x v="123"/>
    <x v="201"/>
    <x v="514"/>
    <x v="3"/>
  </r>
  <r>
    <x v="0"/>
    <x v="50"/>
    <x v="50"/>
    <x v="5"/>
    <x v="5"/>
    <x v="5"/>
    <x v="12"/>
    <x v="72"/>
    <x v="165"/>
    <x v="54"/>
    <x v="572"/>
    <x v="47"/>
    <x v="117"/>
    <x v="3"/>
  </r>
  <r>
    <x v="0"/>
    <x v="50"/>
    <x v="50"/>
    <x v="9"/>
    <x v="9"/>
    <x v="9"/>
    <x v="12"/>
    <x v="72"/>
    <x v="165"/>
    <x v="64"/>
    <x v="573"/>
    <x v="230"/>
    <x v="516"/>
    <x v="3"/>
  </r>
  <r>
    <x v="0"/>
    <x v="50"/>
    <x v="50"/>
    <x v="26"/>
    <x v="26"/>
    <x v="26"/>
    <x v="15"/>
    <x v="125"/>
    <x v="326"/>
    <x v="70"/>
    <x v="103"/>
    <x v="201"/>
    <x v="514"/>
    <x v="3"/>
  </r>
  <r>
    <x v="0"/>
    <x v="50"/>
    <x v="50"/>
    <x v="10"/>
    <x v="10"/>
    <x v="10"/>
    <x v="15"/>
    <x v="125"/>
    <x v="326"/>
    <x v="69"/>
    <x v="574"/>
    <x v="65"/>
    <x v="417"/>
    <x v="3"/>
  </r>
  <r>
    <x v="0"/>
    <x v="50"/>
    <x v="50"/>
    <x v="25"/>
    <x v="25"/>
    <x v="25"/>
    <x v="17"/>
    <x v="303"/>
    <x v="469"/>
    <x v="37"/>
    <x v="295"/>
    <x v="47"/>
    <x v="117"/>
    <x v="3"/>
  </r>
  <r>
    <x v="0"/>
    <x v="50"/>
    <x v="50"/>
    <x v="39"/>
    <x v="39"/>
    <x v="39"/>
    <x v="18"/>
    <x v="295"/>
    <x v="18"/>
    <x v="56"/>
    <x v="55"/>
    <x v="48"/>
    <x v="159"/>
    <x v="3"/>
  </r>
  <r>
    <x v="0"/>
    <x v="50"/>
    <x v="50"/>
    <x v="20"/>
    <x v="20"/>
    <x v="20"/>
    <x v="18"/>
    <x v="295"/>
    <x v="18"/>
    <x v="37"/>
    <x v="295"/>
    <x v="209"/>
    <x v="213"/>
    <x v="3"/>
  </r>
  <r>
    <x v="0"/>
    <x v="51"/>
    <x v="51"/>
    <x v="0"/>
    <x v="0"/>
    <x v="0"/>
    <x v="0"/>
    <x v="49"/>
    <x v="544"/>
    <x v="77"/>
    <x v="575"/>
    <x v="225"/>
    <x v="144"/>
    <x v="3"/>
  </r>
  <r>
    <x v="0"/>
    <x v="51"/>
    <x v="51"/>
    <x v="4"/>
    <x v="4"/>
    <x v="4"/>
    <x v="1"/>
    <x v="124"/>
    <x v="545"/>
    <x v="84"/>
    <x v="517"/>
    <x v="81"/>
    <x v="517"/>
    <x v="3"/>
  </r>
  <r>
    <x v="0"/>
    <x v="51"/>
    <x v="51"/>
    <x v="1"/>
    <x v="1"/>
    <x v="1"/>
    <x v="1"/>
    <x v="124"/>
    <x v="545"/>
    <x v="34"/>
    <x v="460"/>
    <x v="229"/>
    <x v="278"/>
    <x v="3"/>
  </r>
  <r>
    <x v="0"/>
    <x v="51"/>
    <x v="51"/>
    <x v="3"/>
    <x v="3"/>
    <x v="3"/>
    <x v="3"/>
    <x v="55"/>
    <x v="546"/>
    <x v="61"/>
    <x v="576"/>
    <x v="210"/>
    <x v="470"/>
    <x v="3"/>
  </r>
  <r>
    <x v="0"/>
    <x v="51"/>
    <x v="51"/>
    <x v="8"/>
    <x v="8"/>
    <x v="8"/>
    <x v="4"/>
    <x v="282"/>
    <x v="547"/>
    <x v="71"/>
    <x v="385"/>
    <x v="48"/>
    <x v="518"/>
    <x v="3"/>
  </r>
  <r>
    <x v="0"/>
    <x v="51"/>
    <x v="51"/>
    <x v="2"/>
    <x v="2"/>
    <x v="2"/>
    <x v="5"/>
    <x v="126"/>
    <x v="521"/>
    <x v="84"/>
    <x v="517"/>
    <x v="225"/>
    <x v="144"/>
    <x v="0"/>
  </r>
  <r>
    <x v="0"/>
    <x v="51"/>
    <x v="51"/>
    <x v="5"/>
    <x v="5"/>
    <x v="5"/>
    <x v="6"/>
    <x v="303"/>
    <x v="499"/>
    <x v="62"/>
    <x v="348"/>
    <x v="229"/>
    <x v="278"/>
    <x v="3"/>
  </r>
  <r>
    <x v="0"/>
    <x v="51"/>
    <x v="51"/>
    <x v="11"/>
    <x v="11"/>
    <x v="11"/>
    <x v="7"/>
    <x v="308"/>
    <x v="191"/>
    <x v="84"/>
    <x v="517"/>
    <x v="222"/>
    <x v="102"/>
    <x v="3"/>
  </r>
  <r>
    <x v="0"/>
    <x v="51"/>
    <x v="51"/>
    <x v="18"/>
    <x v="18"/>
    <x v="18"/>
    <x v="8"/>
    <x v="309"/>
    <x v="548"/>
    <x v="56"/>
    <x v="55"/>
    <x v="107"/>
    <x v="519"/>
    <x v="3"/>
  </r>
  <r>
    <x v="0"/>
    <x v="51"/>
    <x v="51"/>
    <x v="6"/>
    <x v="6"/>
    <x v="6"/>
    <x v="9"/>
    <x v="322"/>
    <x v="46"/>
    <x v="72"/>
    <x v="577"/>
    <x v="225"/>
    <x v="144"/>
    <x v="3"/>
  </r>
  <r>
    <x v="0"/>
    <x v="51"/>
    <x v="51"/>
    <x v="29"/>
    <x v="29"/>
    <x v="29"/>
    <x v="10"/>
    <x v="311"/>
    <x v="15"/>
    <x v="53"/>
    <x v="578"/>
    <x v="229"/>
    <x v="278"/>
    <x v="3"/>
  </r>
  <r>
    <x v="0"/>
    <x v="51"/>
    <x v="51"/>
    <x v="25"/>
    <x v="25"/>
    <x v="25"/>
    <x v="10"/>
    <x v="311"/>
    <x v="15"/>
    <x v="72"/>
    <x v="577"/>
    <x v="229"/>
    <x v="278"/>
    <x v="3"/>
  </r>
  <r>
    <x v="0"/>
    <x v="51"/>
    <x v="51"/>
    <x v="10"/>
    <x v="10"/>
    <x v="10"/>
    <x v="12"/>
    <x v="323"/>
    <x v="132"/>
    <x v="79"/>
    <x v="225"/>
    <x v="228"/>
    <x v="139"/>
    <x v="3"/>
  </r>
  <r>
    <x v="0"/>
    <x v="51"/>
    <x v="51"/>
    <x v="34"/>
    <x v="34"/>
    <x v="34"/>
    <x v="13"/>
    <x v="324"/>
    <x v="549"/>
    <x v="79"/>
    <x v="225"/>
    <x v="229"/>
    <x v="278"/>
    <x v="3"/>
  </r>
  <r>
    <x v="0"/>
    <x v="51"/>
    <x v="51"/>
    <x v="17"/>
    <x v="17"/>
    <x v="17"/>
    <x v="13"/>
    <x v="324"/>
    <x v="549"/>
    <x v="82"/>
    <x v="272"/>
    <x v="228"/>
    <x v="139"/>
    <x v="3"/>
  </r>
  <r>
    <x v="0"/>
    <x v="51"/>
    <x v="51"/>
    <x v="24"/>
    <x v="24"/>
    <x v="24"/>
    <x v="13"/>
    <x v="324"/>
    <x v="549"/>
    <x v="70"/>
    <x v="56"/>
    <x v="222"/>
    <x v="102"/>
    <x v="3"/>
  </r>
  <r>
    <x v="0"/>
    <x v="51"/>
    <x v="51"/>
    <x v="20"/>
    <x v="20"/>
    <x v="20"/>
    <x v="13"/>
    <x v="324"/>
    <x v="549"/>
    <x v="79"/>
    <x v="225"/>
    <x v="229"/>
    <x v="278"/>
    <x v="3"/>
  </r>
  <r>
    <x v="0"/>
    <x v="51"/>
    <x v="51"/>
    <x v="9"/>
    <x v="9"/>
    <x v="9"/>
    <x v="13"/>
    <x v="324"/>
    <x v="549"/>
    <x v="53"/>
    <x v="578"/>
    <x v="235"/>
    <x v="439"/>
    <x v="3"/>
  </r>
  <r>
    <x v="0"/>
    <x v="51"/>
    <x v="51"/>
    <x v="41"/>
    <x v="41"/>
    <x v="41"/>
    <x v="13"/>
    <x v="324"/>
    <x v="549"/>
    <x v="82"/>
    <x v="272"/>
    <x v="228"/>
    <x v="139"/>
    <x v="3"/>
  </r>
  <r>
    <x v="0"/>
    <x v="51"/>
    <x v="51"/>
    <x v="30"/>
    <x v="30"/>
    <x v="30"/>
    <x v="19"/>
    <x v="325"/>
    <x v="550"/>
    <x v="70"/>
    <x v="56"/>
    <x v="228"/>
    <x v="139"/>
    <x v="3"/>
  </r>
  <r>
    <x v="0"/>
    <x v="51"/>
    <x v="51"/>
    <x v="43"/>
    <x v="43"/>
    <x v="43"/>
    <x v="19"/>
    <x v="325"/>
    <x v="550"/>
    <x v="70"/>
    <x v="56"/>
    <x v="228"/>
    <x v="139"/>
    <x v="3"/>
  </r>
  <r>
    <x v="0"/>
    <x v="51"/>
    <x v="51"/>
    <x v="12"/>
    <x v="12"/>
    <x v="12"/>
    <x v="19"/>
    <x v="325"/>
    <x v="550"/>
    <x v="70"/>
    <x v="56"/>
    <x v="228"/>
    <x v="139"/>
    <x v="3"/>
  </r>
  <r>
    <x v="0"/>
    <x v="51"/>
    <x v="51"/>
    <x v="28"/>
    <x v="28"/>
    <x v="28"/>
    <x v="19"/>
    <x v="325"/>
    <x v="550"/>
    <x v="56"/>
    <x v="55"/>
    <x v="222"/>
    <x v="102"/>
    <x v="3"/>
  </r>
  <r>
    <x v="0"/>
    <x v="51"/>
    <x v="51"/>
    <x v="15"/>
    <x v="15"/>
    <x v="15"/>
    <x v="19"/>
    <x v="325"/>
    <x v="550"/>
    <x v="56"/>
    <x v="55"/>
    <x v="222"/>
    <x v="102"/>
    <x v="3"/>
  </r>
  <r>
    <x v="0"/>
    <x v="51"/>
    <x v="51"/>
    <x v="7"/>
    <x v="7"/>
    <x v="7"/>
    <x v="19"/>
    <x v="325"/>
    <x v="550"/>
    <x v="82"/>
    <x v="272"/>
    <x v="229"/>
    <x v="278"/>
    <x v="3"/>
  </r>
  <r>
    <x v="0"/>
    <x v="52"/>
    <x v="52"/>
    <x v="4"/>
    <x v="4"/>
    <x v="4"/>
    <x v="0"/>
    <x v="121"/>
    <x v="551"/>
    <x v="54"/>
    <x v="268"/>
    <x v="97"/>
    <x v="520"/>
    <x v="3"/>
  </r>
  <r>
    <x v="0"/>
    <x v="52"/>
    <x v="52"/>
    <x v="1"/>
    <x v="1"/>
    <x v="1"/>
    <x v="1"/>
    <x v="312"/>
    <x v="336"/>
    <x v="112"/>
    <x v="579"/>
    <x v="107"/>
    <x v="84"/>
    <x v="3"/>
  </r>
  <r>
    <x v="0"/>
    <x v="52"/>
    <x v="52"/>
    <x v="0"/>
    <x v="0"/>
    <x v="0"/>
    <x v="2"/>
    <x v="233"/>
    <x v="171"/>
    <x v="48"/>
    <x v="580"/>
    <x v="222"/>
    <x v="521"/>
    <x v="3"/>
  </r>
  <r>
    <x v="0"/>
    <x v="52"/>
    <x v="52"/>
    <x v="2"/>
    <x v="2"/>
    <x v="2"/>
    <x v="3"/>
    <x v="54"/>
    <x v="552"/>
    <x v="54"/>
    <x v="268"/>
    <x v="53"/>
    <x v="522"/>
    <x v="3"/>
  </r>
  <r>
    <x v="0"/>
    <x v="52"/>
    <x v="52"/>
    <x v="6"/>
    <x v="6"/>
    <x v="6"/>
    <x v="4"/>
    <x v="56"/>
    <x v="553"/>
    <x v="71"/>
    <x v="581"/>
    <x v="63"/>
    <x v="523"/>
    <x v="3"/>
  </r>
  <r>
    <x v="0"/>
    <x v="52"/>
    <x v="52"/>
    <x v="8"/>
    <x v="8"/>
    <x v="8"/>
    <x v="4"/>
    <x v="56"/>
    <x v="553"/>
    <x v="72"/>
    <x v="247"/>
    <x v="54"/>
    <x v="113"/>
    <x v="3"/>
  </r>
  <r>
    <x v="0"/>
    <x v="52"/>
    <x v="52"/>
    <x v="5"/>
    <x v="5"/>
    <x v="5"/>
    <x v="6"/>
    <x v="83"/>
    <x v="462"/>
    <x v="64"/>
    <x v="3"/>
    <x v="225"/>
    <x v="308"/>
    <x v="3"/>
  </r>
  <r>
    <x v="0"/>
    <x v="52"/>
    <x v="52"/>
    <x v="11"/>
    <x v="11"/>
    <x v="11"/>
    <x v="6"/>
    <x v="83"/>
    <x v="462"/>
    <x v="64"/>
    <x v="3"/>
    <x v="225"/>
    <x v="308"/>
    <x v="3"/>
  </r>
  <r>
    <x v="0"/>
    <x v="52"/>
    <x v="52"/>
    <x v="3"/>
    <x v="3"/>
    <x v="3"/>
    <x v="6"/>
    <x v="83"/>
    <x v="462"/>
    <x v="114"/>
    <x v="166"/>
    <x v="72"/>
    <x v="524"/>
    <x v="3"/>
  </r>
  <r>
    <x v="0"/>
    <x v="52"/>
    <x v="52"/>
    <x v="10"/>
    <x v="10"/>
    <x v="10"/>
    <x v="9"/>
    <x v="125"/>
    <x v="554"/>
    <x v="64"/>
    <x v="3"/>
    <x v="228"/>
    <x v="525"/>
    <x v="3"/>
  </r>
  <r>
    <x v="0"/>
    <x v="52"/>
    <x v="52"/>
    <x v="9"/>
    <x v="9"/>
    <x v="9"/>
    <x v="10"/>
    <x v="84"/>
    <x v="555"/>
    <x v="83"/>
    <x v="9"/>
    <x v="228"/>
    <x v="525"/>
    <x v="3"/>
  </r>
  <r>
    <x v="0"/>
    <x v="52"/>
    <x v="52"/>
    <x v="25"/>
    <x v="25"/>
    <x v="25"/>
    <x v="11"/>
    <x v="85"/>
    <x v="64"/>
    <x v="62"/>
    <x v="582"/>
    <x v="222"/>
    <x v="521"/>
    <x v="3"/>
  </r>
  <r>
    <x v="0"/>
    <x v="52"/>
    <x v="52"/>
    <x v="7"/>
    <x v="7"/>
    <x v="7"/>
    <x v="12"/>
    <x v="308"/>
    <x v="433"/>
    <x v="46"/>
    <x v="149"/>
    <x v="230"/>
    <x v="526"/>
    <x v="3"/>
  </r>
  <r>
    <x v="0"/>
    <x v="52"/>
    <x v="52"/>
    <x v="18"/>
    <x v="18"/>
    <x v="18"/>
    <x v="12"/>
    <x v="308"/>
    <x v="433"/>
    <x v="56"/>
    <x v="55"/>
    <x v="72"/>
    <x v="524"/>
    <x v="3"/>
  </r>
  <r>
    <x v="0"/>
    <x v="52"/>
    <x v="52"/>
    <x v="16"/>
    <x v="16"/>
    <x v="16"/>
    <x v="14"/>
    <x v="310"/>
    <x v="239"/>
    <x v="82"/>
    <x v="123"/>
    <x v="65"/>
    <x v="527"/>
    <x v="3"/>
  </r>
  <r>
    <x v="0"/>
    <x v="52"/>
    <x v="52"/>
    <x v="13"/>
    <x v="13"/>
    <x v="13"/>
    <x v="14"/>
    <x v="310"/>
    <x v="239"/>
    <x v="53"/>
    <x v="134"/>
    <x v="230"/>
    <x v="526"/>
    <x v="3"/>
  </r>
  <r>
    <x v="0"/>
    <x v="52"/>
    <x v="52"/>
    <x v="20"/>
    <x v="20"/>
    <x v="20"/>
    <x v="14"/>
    <x v="310"/>
    <x v="239"/>
    <x v="79"/>
    <x v="583"/>
    <x v="225"/>
    <x v="308"/>
    <x v="3"/>
  </r>
  <r>
    <x v="0"/>
    <x v="52"/>
    <x v="52"/>
    <x v="32"/>
    <x v="32"/>
    <x v="32"/>
    <x v="17"/>
    <x v="321"/>
    <x v="72"/>
    <x v="53"/>
    <x v="134"/>
    <x v="222"/>
    <x v="521"/>
    <x v="3"/>
  </r>
  <r>
    <x v="0"/>
    <x v="52"/>
    <x v="52"/>
    <x v="12"/>
    <x v="12"/>
    <x v="12"/>
    <x v="17"/>
    <x v="321"/>
    <x v="72"/>
    <x v="37"/>
    <x v="227"/>
    <x v="229"/>
    <x v="528"/>
    <x v="3"/>
  </r>
  <r>
    <x v="0"/>
    <x v="52"/>
    <x v="52"/>
    <x v="15"/>
    <x v="15"/>
    <x v="15"/>
    <x v="17"/>
    <x v="321"/>
    <x v="72"/>
    <x v="70"/>
    <x v="174"/>
    <x v="65"/>
    <x v="527"/>
    <x v="3"/>
  </r>
  <r>
    <x v="0"/>
    <x v="53"/>
    <x v="53"/>
    <x v="1"/>
    <x v="1"/>
    <x v="1"/>
    <x v="0"/>
    <x v="253"/>
    <x v="556"/>
    <x v="146"/>
    <x v="584"/>
    <x v="209"/>
    <x v="234"/>
    <x v="3"/>
  </r>
  <r>
    <x v="0"/>
    <x v="53"/>
    <x v="53"/>
    <x v="4"/>
    <x v="4"/>
    <x v="4"/>
    <x v="1"/>
    <x v="289"/>
    <x v="557"/>
    <x v="55"/>
    <x v="585"/>
    <x v="234"/>
    <x v="529"/>
    <x v="3"/>
  </r>
  <r>
    <x v="0"/>
    <x v="53"/>
    <x v="53"/>
    <x v="0"/>
    <x v="0"/>
    <x v="0"/>
    <x v="2"/>
    <x v="263"/>
    <x v="558"/>
    <x v="98"/>
    <x v="586"/>
    <x v="230"/>
    <x v="247"/>
    <x v="3"/>
  </r>
  <r>
    <x v="0"/>
    <x v="53"/>
    <x v="53"/>
    <x v="6"/>
    <x v="6"/>
    <x v="6"/>
    <x v="3"/>
    <x v="69"/>
    <x v="559"/>
    <x v="69"/>
    <x v="424"/>
    <x v="56"/>
    <x v="530"/>
    <x v="3"/>
  </r>
  <r>
    <x v="0"/>
    <x v="53"/>
    <x v="53"/>
    <x v="8"/>
    <x v="8"/>
    <x v="8"/>
    <x v="4"/>
    <x v="281"/>
    <x v="560"/>
    <x v="55"/>
    <x v="585"/>
    <x v="73"/>
    <x v="531"/>
    <x v="3"/>
  </r>
  <r>
    <x v="0"/>
    <x v="53"/>
    <x v="53"/>
    <x v="5"/>
    <x v="5"/>
    <x v="5"/>
    <x v="4"/>
    <x v="281"/>
    <x v="560"/>
    <x v="80"/>
    <x v="587"/>
    <x v="107"/>
    <x v="138"/>
    <x v="3"/>
  </r>
  <r>
    <x v="0"/>
    <x v="53"/>
    <x v="53"/>
    <x v="3"/>
    <x v="3"/>
    <x v="3"/>
    <x v="6"/>
    <x v="81"/>
    <x v="520"/>
    <x v="64"/>
    <x v="588"/>
    <x v="57"/>
    <x v="532"/>
    <x v="3"/>
  </r>
  <r>
    <x v="0"/>
    <x v="53"/>
    <x v="53"/>
    <x v="10"/>
    <x v="10"/>
    <x v="10"/>
    <x v="7"/>
    <x v="83"/>
    <x v="259"/>
    <x v="61"/>
    <x v="589"/>
    <x v="230"/>
    <x v="247"/>
    <x v="3"/>
  </r>
  <r>
    <x v="0"/>
    <x v="53"/>
    <x v="53"/>
    <x v="11"/>
    <x v="11"/>
    <x v="11"/>
    <x v="8"/>
    <x v="303"/>
    <x v="160"/>
    <x v="106"/>
    <x v="590"/>
    <x v="65"/>
    <x v="221"/>
    <x v="3"/>
  </r>
  <r>
    <x v="0"/>
    <x v="53"/>
    <x v="53"/>
    <x v="2"/>
    <x v="2"/>
    <x v="2"/>
    <x v="9"/>
    <x v="295"/>
    <x v="165"/>
    <x v="53"/>
    <x v="33"/>
    <x v="72"/>
    <x v="533"/>
    <x v="3"/>
  </r>
  <r>
    <x v="0"/>
    <x v="53"/>
    <x v="53"/>
    <x v="7"/>
    <x v="7"/>
    <x v="7"/>
    <x v="9"/>
    <x v="295"/>
    <x v="165"/>
    <x v="106"/>
    <x v="590"/>
    <x v="222"/>
    <x v="476"/>
    <x v="3"/>
  </r>
  <r>
    <x v="0"/>
    <x v="53"/>
    <x v="53"/>
    <x v="9"/>
    <x v="9"/>
    <x v="9"/>
    <x v="11"/>
    <x v="296"/>
    <x v="423"/>
    <x v="84"/>
    <x v="591"/>
    <x v="230"/>
    <x v="247"/>
    <x v="3"/>
  </r>
  <r>
    <x v="0"/>
    <x v="53"/>
    <x v="53"/>
    <x v="18"/>
    <x v="18"/>
    <x v="18"/>
    <x v="12"/>
    <x v="309"/>
    <x v="14"/>
    <x v="56"/>
    <x v="55"/>
    <x v="47"/>
    <x v="534"/>
    <x v="3"/>
  </r>
  <r>
    <x v="0"/>
    <x v="53"/>
    <x v="53"/>
    <x v="25"/>
    <x v="25"/>
    <x v="25"/>
    <x v="12"/>
    <x v="309"/>
    <x v="14"/>
    <x v="46"/>
    <x v="329"/>
    <x v="222"/>
    <x v="476"/>
    <x v="3"/>
  </r>
  <r>
    <x v="0"/>
    <x v="53"/>
    <x v="53"/>
    <x v="13"/>
    <x v="13"/>
    <x v="13"/>
    <x v="14"/>
    <x v="322"/>
    <x v="306"/>
    <x v="72"/>
    <x v="62"/>
    <x v="225"/>
    <x v="535"/>
    <x v="3"/>
  </r>
  <r>
    <x v="0"/>
    <x v="53"/>
    <x v="53"/>
    <x v="20"/>
    <x v="20"/>
    <x v="20"/>
    <x v="14"/>
    <x v="322"/>
    <x v="306"/>
    <x v="53"/>
    <x v="33"/>
    <x v="65"/>
    <x v="221"/>
    <x v="3"/>
  </r>
  <r>
    <x v="0"/>
    <x v="53"/>
    <x v="53"/>
    <x v="15"/>
    <x v="15"/>
    <x v="15"/>
    <x v="16"/>
    <x v="310"/>
    <x v="479"/>
    <x v="79"/>
    <x v="367"/>
    <x v="225"/>
    <x v="535"/>
    <x v="3"/>
  </r>
  <r>
    <x v="0"/>
    <x v="53"/>
    <x v="53"/>
    <x v="19"/>
    <x v="19"/>
    <x v="19"/>
    <x v="16"/>
    <x v="310"/>
    <x v="479"/>
    <x v="70"/>
    <x v="103"/>
    <x v="65"/>
    <x v="221"/>
    <x v="3"/>
  </r>
  <r>
    <x v="0"/>
    <x v="53"/>
    <x v="53"/>
    <x v="17"/>
    <x v="17"/>
    <x v="17"/>
    <x v="18"/>
    <x v="321"/>
    <x v="53"/>
    <x v="79"/>
    <x v="367"/>
    <x v="230"/>
    <x v="247"/>
    <x v="3"/>
  </r>
  <r>
    <x v="0"/>
    <x v="53"/>
    <x v="53"/>
    <x v="12"/>
    <x v="12"/>
    <x v="12"/>
    <x v="18"/>
    <x v="321"/>
    <x v="53"/>
    <x v="53"/>
    <x v="33"/>
    <x v="222"/>
    <x v="476"/>
    <x v="3"/>
  </r>
  <r>
    <x v="0"/>
    <x v="53"/>
    <x v="53"/>
    <x v="28"/>
    <x v="28"/>
    <x v="28"/>
    <x v="18"/>
    <x v="321"/>
    <x v="53"/>
    <x v="79"/>
    <x v="367"/>
    <x v="230"/>
    <x v="247"/>
    <x v="3"/>
  </r>
  <r>
    <x v="0"/>
    <x v="54"/>
    <x v="54"/>
    <x v="0"/>
    <x v="0"/>
    <x v="0"/>
    <x v="0"/>
    <x v="114"/>
    <x v="561"/>
    <x v="100"/>
    <x v="288"/>
    <x v="230"/>
    <x v="9"/>
    <x v="3"/>
  </r>
  <r>
    <x v="0"/>
    <x v="54"/>
    <x v="54"/>
    <x v="4"/>
    <x v="4"/>
    <x v="4"/>
    <x v="1"/>
    <x v="66"/>
    <x v="1"/>
    <x v="91"/>
    <x v="592"/>
    <x v="101"/>
    <x v="536"/>
    <x v="3"/>
  </r>
  <r>
    <x v="0"/>
    <x v="54"/>
    <x v="54"/>
    <x v="1"/>
    <x v="1"/>
    <x v="1"/>
    <x v="2"/>
    <x v="233"/>
    <x v="123"/>
    <x v="18"/>
    <x v="593"/>
    <x v="210"/>
    <x v="537"/>
    <x v="3"/>
  </r>
  <r>
    <x v="0"/>
    <x v="54"/>
    <x v="54"/>
    <x v="6"/>
    <x v="6"/>
    <x v="6"/>
    <x v="3"/>
    <x v="281"/>
    <x v="187"/>
    <x v="62"/>
    <x v="217"/>
    <x v="54"/>
    <x v="507"/>
    <x v="3"/>
  </r>
  <r>
    <x v="0"/>
    <x v="54"/>
    <x v="54"/>
    <x v="25"/>
    <x v="25"/>
    <x v="25"/>
    <x v="4"/>
    <x v="82"/>
    <x v="349"/>
    <x v="113"/>
    <x v="538"/>
    <x v="230"/>
    <x v="9"/>
    <x v="3"/>
  </r>
  <r>
    <x v="0"/>
    <x v="54"/>
    <x v="54"/>
    <x v="5"/>
    <x v="5"/>
    <x v="5"/>
    <x v="5"/>
    <x v="71"/>
    <x v="562"/>
    <x v="68"/>
    <x v="457"/>
    <x v="225"/>
    <x v="62"/>
    <x v="3"/>
  </r>
  <r>
    <x v="0"/>
    <x v="54"/>
    <x v="54"/>
    <x v="3"/>
    <x v="3"/>
    <x v="3"/>
    <x v="6"/>
    <x v="125"/>
    <x v="441"/>
    <x v="55"/>
    <x v="314"/>
    <x v="57"/>
    <x v="59"/>
    <x v="3"/>
  </r>
  <r>
    <x v="0"/>
    <x v="54"/>
    <x v="54"/>
    <x v="8"/>
    <x v="8"/>
    <x v="8"/>
    <x v="7"/>
    <x v="85"/>
    <x v="543"/>
    <x v="72"/>
    <x v="312"/>
    <x v="48"/>
    <x v="54"/>
    <x v="3"/>
  </r>
  <r>
    <x v="0"/>
    <x v="54"/>
    <x v="54"/>
    <x v="11"/>
    <x v="11"/>
    <x v="11"/>
    <x v="7"/>
    <x v="85"/>
    <x v="543"/>
    <x v="91"/>
    <x v="592"/>
    <x v="65"/>
    <x v="63"/>
    <x v="3"/>
  </r>
  <r>
    <x v="0"/>
    <x v="54"/>
    <x v="54"/>
    <x v="2"/>
    <x v="2"/>
    <x v="2"/>
    <x v="9"/>
    <x v="294"/>
    <x v="334"/>
    <x v="84"/>
    <x v="363"/>
    <x v="210"/>
    <x v="537"/>
    <x v="3"/>
  </r>
  <r>
    <x v="0"/>
    <x v="54"/>
    <x v="54"/>
    <x v="10"/>
    <x v="10"/>
    <x v="10"/>
    <x v="10"/>
    <x v="304"/>
    <x v="195"/>
    <x v="55"/>
    <x v="314"/>
    <x v="230"/>
    <x v="9"/>
    <x v="3"/>
  </r>
  <r>
    <x v="0"/>
    <x v="54"/>
    <x v="54"/>
    <x v="9"/>
    <x v="9"/>
    <x v="9"/>
    <x v="10"/>
    <x v="304"/>
    <x v="195"/>
    <x v="91"/>
    <x v="592"/>
    <x v="228"/>
    <x v="237"/>
    <x v="3"/>
  </r>
  <r>
    <x v="0"/>
    <x v="54"/>
    <x v="54"/>
    <x v="17"/>
    <x v="17"/>
    <x v="17"/>
    <x v="12"/>
    <x v="295"/>
    <x v="48"/>
    <x v="53"/>
    <x v="526"/>
    <x v="72"/>
    <x v="368"/>
    <x v="3"/>
  </r>
  <r>
    <x v="0"/>
    <x v="54"/>
    <x v="54"/>
    <x v="23"/>
    <x v="23"/>
    <x v="23"/>
    <x v="13"/>
    <x v="308"/>
    <x v="371"/>
    <x v="82"/>
    <x v="594"/>
    <x v="72"/>
    <x v="368"/>
    <x v="3"/>
  </r>
  <r>
    <x v="0"/>
    <x v="54"/>
    <x v="54"/>
    <x v="12"/>
    <x v="12"/>
    <x v="12"/>
    <x v="13"/>
    <x v="308"/>
    <x v="371"/>
    <x v="72"/>
    <x v="312"/>
    <x v="210"/>
    <x v="537"/>
    <x v="3"/>
  </r>
  <r>
    <x v="0"/>
    <x v="54"/>
    <x v="54"/>
    <x v="13"/>
    <x v="13"/>
    <x v="13"/>
    <x v="15"/>
    <x v="320"/>
    <x v="102"/>
    <x v="72"/>
    <x v="312"/>
    <x v="230"/>
    <x v="9"/>
    <x v="3"/>
  </r>
  <r>
    <x v="0"/>
    <x v="54"/>
    <x v="54"/>
    <x v="14"/>
    <x v="14"/>
    <x v="14"/>
    <x v="16"/>
    <x v="310"/>
    <x v="120"/>
    <x v="82"/>
    <x v="594"/>
    <x v="65"/>
    <x v="63"/>
    <x v="3"/>
  </r>
  <r>
    <x v="0"/>
    <x v="54"/>
    <x v="54"/>
    <x v="15"/>
    <x v="15"/>
    <x v="15"/>
    <x v="17"/>
    <x v="321"/>
    <x v="72"/>
    <x v="82"/>
    <x v="594"/>
    <x v="225"/>
    <x v="62"/>
    <x v="3"/>
  </r>
  <r>
    <x v="0"/>
    <x v="54"/>
    <x v="54"/>
    <x v="20"/>
    <x v="20"/>
    <x v="20"/>
    <x v="17"/>
    <x v="321"/>
    <x v="72"/>
    <x v="79"/>
    <x v="367"/>
    <x v="230"/>
    <x v="9"/>
    <x v="3"/>
  </r>
  <r>
    <x v="0"/>
    <x v="54"/>
    <x v="54"/>
    <x v="18"/>
    <x v="18"/>
    <x v="18"/>
    <x v="17"/>
    <x v="321"/>
    <x v="72"/>
    <x v="56"/>
    <x v="55"/>
    <x v="210"/>
    <x v="537"/>
    <x v="3"/>
  </r>
  <r>
    <x v="0"/>
    <x v="54"/>
    <x v="54"/>
    <x v="41"/>
    <x v="41"/>
    <x v="41"/>
    <x v="17"/>
    <x v="321"/>
    <x v="72"/>
    <x v="53"/>
    <x v="526"/>
    <x v="222"/>
    <x v="52"/>
    <x v="3"/>
  </r>
  <r>
    <x v="0"/>
    <x v="55"/>
    <x v="55"/>
    <x v="4"/>
    <x v="4"/>
    <x v="4"/>
    <x v="0"/>
    <x v="84"/>
    <x v="563"/>
    <x v="53"/>
    <x v="221"/>
    <x v="109"/>
    <x v="538"/>
    <x v="3"/>
  </r>
  <r>
    <x v="0"/>
    <x v="55"/>
    <x v="55"/>
    <x v="1"/>
    <x v="1"/>
    <x v="1"/>
    <x v="1"/>
    <x v="295"/>
    <x v="564"/>
    <x v="91"/>
    <x v="595"/>
    <x v="229"/>
    <x v="294"/>
    <x v="3"/>
  </r>
  <r>
    <x v="0"/>
    <x v="55"/>
    <x v="55"/>
    <x v="8"/>
    <x v="8"/>
    <x v="8"/>
    <x v="2"/>
    <x v="320"/>
    <x v="565"/>
    <x v="53"/>
    <x v="221"/>
    <x v="225"/>
    <x v="539"/>
    <x v="3"/>
  </r>
  <r>
    <x v="0"/>
    <x v="55"/>
    <x v="55"/>
    <x v="5"/>
    <x v="5"/>
    <x v="5"/>
    <x v="2"/>
    <x v="320"/>
    <x v="565"/>
    <x v="37"/>
    <x v="535"/>
    <x v="228"/>
    <x v="105"/>
    <x v="6"/>
  </r>
  <r>
    <x v="0"/>
    <x v="55"/>
    <x v="55"/>
    <x v="23"/>
    <x v="23"/>
    <x v="23"/>
    <x v="4"/>
    <x v="310"/>
    <x v="540"/>
    <x v="82"/>
    <x v="516"/>
    <x v="65"/>
    <x v="540"/>
    <x v="3"/>
  </r>
  <r>
    <x v="0"/>
    <x v="55"/>
    <x v="55"/>
    <x v="11"/>
    <x v="11"/>
    <x v="11"/>
    <x v="5"/>
    <x v="321"/>
    <x v="524"/>
    <x v="71"/>
    <x v="596"/>
    <x v="235"/>
    <x v="439"/>
    <x v="3"/>
  </r>
  <r>
    <x v="0"/>
    <x v="55"/>
    <x v="55"/>
    <x v="3"/>
    <x v="3"/>
    <x v="3"/>
    <x v="5"/>
    <x v="321"/>
    <x v="524"/>
    <x v="53"/>
    <x v="221"/>
    <x v="222"/>
    <x v="321"/>
    <x v="3"/>
  </r>
  <r>
    <x v="0"/>
    <x v="55"/>
    <x v="55"/>
    <x v="18"/>
    <x v="18"/>
    <x v="18"/>
    <x v="5"/>
    <x v="321"/>
    <x v="524"/>
    <x v="56"/>
    <x v="55"/>
    <x v="210"/>
    <x v="531"/>
    <x v="3"/>
  </r>
  <r>
    <x v="0"/>
    <x v="55"/>
    <x v="55"/>
    <x v="6"/>
    <x v="6"/>
    <x v="6"/>
    <x v="8"/>
    <x v="324"/>
    <x v="566"/>
    <x v="79"/>
    <x v="536"/>
    <x v="229"/>
    <x v="294"/>
    <x v="3"/>
  </r>
  <r>
    <x v="0"/>
    <x v="55"/>
    <x v="55"/>
    <x v="30"/>
    <x v="30"/>
    <x v="30"/>
    <x v="8"/>
    <x v="324"/>
    <x v="566"/>
    <x v="79"/>
    <x v="536"/>
    <x v="229"/>
    <x v="294"/>
    <x v="3"/>
  </r>
  <r>
    <x v="0"/>
    <x v="55"/>
    <x v="55"/>
    <x v="12"/>
    <x v="12"/>
    <x v="12"/>
    <x v="8"/>
    <x v="324"/>
    <x v="566"/>
    <x v="79"/>
    <x v="536"/>
    <x v="229"/>
    <x v="294"/>
    <x v="3"/>
  </r>
  <r>
    <x v="0"/>
    <x v="55"/>
    <x v="55"/>
    <x v="25"/>
    <x v="25"/>
    <x v="25"/>
    <x v="8"/>
    <x v="324"/>
    <x v="566"/>
    <x v="79"/>
    <x v="536"/>
    <x v="229"/>
    <x v="294"/>
    <x v="3"/>
  </r>
  <r>
    <x v="0"/>
    <x v="55"/>
    <x v="55"/>
    <x v="38"/>
    <x v="38"/>
    <x v="38"/>
    <x v="12"/>
    <x v="325"/>
    <x v="567"/>
    <x v="56"/>
    <x v="55"/>
    <x v="222"/>
    <x v="321"/>
    <x v="3"/>
  </r>
  <r>
    <x v="0"/>
    <x v="55"/>
    <x v="55"/>
    <x v="39"/>
    <x v="39"/>
    <x v="39"/>
    <x v="12"/>
    <x v="325"/>
    <x v="567"/>
    <x v="70"/>
    <x v="125"/>
    <x v="228"/>
    <x v="105"/>
    <x v="3"/>
  </r>
  <r>
    <x v="0"/>
    <x v="55"/>
    <x v="55"/>
    <x v="17"/>
    <x v="17"/>
    <x v="17"/>
    <x v="12"/>
    <x v="325"/>
    <x v="567"/>
    <x v="70"/>
    <x v="125"/>
    <x v="228"/>
    <x v="105"/>
    <x v="3"/>
  </r>
  <r>
    <x v="0"/>
    <x v="55"/>
    <x v="55"/>
    <x v="44"/>
    <x v="44"/>
    <x v="44"/>
    <x v="15"/>
    <x v="326"/>
    <x v="132"/>
    <x v="70"/>
    <x v="125"/>
    <x v="229"/>
    <x v="294"/>
    <x v="3"/>
  </r>
  <r>
    <x v="0"/>
    <x v="55"/>
    <x v="55"/>
    <x v="45"/>
    <x v="45"/>
    <x v="45"/>
    <x v="15"/>
    <x v="326"/>
    <x v="132"/>
    <x v="82"/>
    <x v="516"/>
    <x v="235"/>
    <x v="439"/>
    <x v="3"/>
  </r>
  <r>
    <x v="0"/>
    <x v="55"/>
    <x v="55"/>
    <x v="31"/>
    <x v="31"/>
    <x v="31"/>
    <x v="15"/>
    <x v="326"/>
    <x v="132"/>
    <x v="70"/>
    <x v="125"/>
    <x v="229"/>
    <x v="294"/>
    <x v="3"/>
  </r>
  <r>
    <x v="0"/>
    <x v="55"/>
    <x v="55"/>
    <x v="26"/>
    <x v="26"/>
    <x v="26"/>
    <x v="15"/>
    <x v="326"/>
    <x v="132"/>
    <x v="56"/>
    <x v="55"/>
    <x v="228"/>
    <x v="105"/>
    <x v="3"/>
  </r>
  <r>
    <x v="0"/>
    <x v="55"/>
    <x v="55"/>
    <x v="15"/>
    <x v="15"/>
    <x v="15"/>
    <x v="15"/>
    <x v="326"/>
    <x v="132"/>
    <x v="56"/>
    <x v="55"/>
    <x v="228"/>
    <x v="105"/>
    <x v="3"/>
  </r>
  <r>
    <x v="0"/>
    <x v="55"/>
    <x v="55"/>
    <x v="7"/>
    <x v="7"/>
    <x v="7"/>
    <x v="15"/>
    <x v="326"/>
    <x v="132"/>
    <x v="70"/>
    <x v="125"/>
    <x v="229"/>
    <x v="294"/>
    <x v="3"/>
  </r>
  <r>
    <x v="0"/>
    <x v="55"/>
    <x v="55"/>
    <x v="13"/>
    <x v="13"/>
    <x v="13"/>
    <x v="15"/>
    <x v="326"/>
    <x v="132"/>
    <x v="70"/>
    <x v="125"/>
    <x v="229"/>
    <x v="294"/>
    <x v="3"/>
  </r>
  <r>
    <x v="0"/>
    <x v="55"/>
    <x v="55"/>
    <x v="10"/>
    <x v="10"/>
    <x v="10"/>
    <x v="15"/>
    <x v="326"/>
    <x v="132"/>
    <x v="56"/>
    <x v="55"/>
    <x v="228"/>
    <x v="105"/>
    <x v="3"/>
  </r>
  <r>
    <x v="0"/>
    <x v="55"/>
    <x v="55"/>
    <x v="9"/>
    <x v="9"/>
    <x v="9"/>
    <x v="15"/>
    <x v="326"/>
    <x v="132"/>
    <x v="82"/>
    <x v="516"/>
    <x v="235"/>
    <x v="439"/>
    <x v="3"/>
  </r>
  <r>
    <x v="0"/>
    <x v="55"/>
    <x v="55"/>
    <x v="19"/>
    <x v="19"/>
    <x v="19"/>
    <x v="15"/>
    <x v="326"/>
    <x v="132"/>
    <x v="56"/>
    <x v="55"/>
    <x v="228"/>
    <x v="105"/>
    <x v="3"/>
  </r>
  <r>
    <x v="0"/>
    <x v="56"/>
    <x v="56"/>
    <x v="4"/>
    <x v="4"/>
    <x v="4"/>
    <x v="0"/>
    <x v="77"/>
    <x v="568"/>
    <x v="62"/>
    <x v="597"/>
    <x v="101"/>
    <x v="541"/>
    <x v="3"/>
  </r>
  <r>
    <x v="0"/>
    <x v="56"/>
    <x v="56"/>
    <x v="1"/>
    <x v="1"/>
    <x v="1"/>
    <x v="1"/>
    <x v="52"/>
    <x v="1"/>
    <x v="45"/>
    <x v="598"/>
    <x v="225"/>
    <x v="82"/>
    <x v="3"/>
  </r>
  <r>
    <x v="0"/>
    <x v="56"/>
    <x v="56"/>
    <x v="0"/>
    <x v="0"/>
    <x v="0"/>
    <x v="2"/>
    <x v="56"/>
    <x v="569"/>
    <x v="52"/>
    <x v="599"/>
    <x v="228"/>
    <x v="207"/>
    <x v="3"/>
  </r>
  <r>
    <x v="0"/>
    <x v="56"/>
    <x v="56"/>
    <x v="3"/>
    <x v="3"/>
    <x v="3"/>
    <x v="3"/>
    <x v="84"/>
    <x v="44"/>
    <x v="55"/>
    <x v="531"/>
    <x v="72"/>
    <x v="542"/>
    <x v="3"/>
  </r>
  <r>
    <x v="0"/>
    <x v="56"/>
    <x v="56"/>
    <x v="6"/>
    <x v="6"/>
    <x v="6"/>
    <x v="4"/>
    <x v="126"/>
    <x v="438"/>
    <x v="72"/>
    <x v="77"/>
    <x v="227"/>
    <x v="543"/>
    <x v="3"/>
  </r>
  <r>
    <x v="0"/>
    <x v="56"/>
    <x v="56"/>
    <x v="5"/>
    <x v="5"/>
    <x v="5"/>
    <x v="5"/>
    <x v="294"/>
    <x v="234"/>
    <x v="114"/>
    <x v="600"/>
    <x v="228"/>
    <x v="207"/>
    <x v="3"/>
  </r>
  <r>
    <x v="0"/>
    <x v="56"/>
    <x v="56"/>
    <x v="25"/>
    <x v="25"/>
    <x v="25"/>
    <x v="6"/>
    <x v="304"/>
    <x v="570"/>
    <x v="69"/>
    <x v="601"/>
    <x v="235"/>
    <x v="439"/>
    <x v="3"/>
  </r>
  <r>
    <x v="0"/>
    <x v="56"/>
    <x v="56"/>
    <x v="8"/>
    <x v="8"/>
    <x v="8"/>
    <x v="7"/>
    <x v="296"/>
    <x v="80"/>
    <x v="82"/>
    <x v="87"/>
    <x v="47"/>
    <x v="544"/>
    <x v="3"/>
  </r>
  <r>
    <x v="0"/>
    <x v="56"/>
    <x v="56"/>
    <x v="11"/>
    <x v="11"/>
    <x v="11"/>
    <x v="7"/>
    <x v="296"/>
    <x v="80"/>
    <x v="106"/>
    <x v="602"/>
    <x v="228"/>
    <x v="207"/>
    <x v="3"/>
  </r>
  <r>
    <x v="0"/>
    <x v="56"/>
    <x v="56"/>
    <x v="10"/>
    <x v="10"/>
    <x v="10"/>
    <x v="9"/>
    <x v="322"/>
    <x v="47"/>
    <x v="46"/>
    <x v="160"/>
    <x v="229"/>
    <x v="375"/>
    <x v="3"/>
  </r>
  <r>
    <x v="0"/>
    <x v="56"/>
    <x v="56"/>
    <x v="18"/>
    <x v="18"/>
    <x v="18"/>
    <x v="10"/>
    <x v="320"/>
    <x v="165"/>
    <x v="56"/>
    <x v="55"/>
    <x v="107"/>
    <x v="7"/>
    <x v="3"/>
  </r>
  <r>
    <x v="0"/>
    <x v="56"/>
    <x v="56"/>
    <x v="30"/>
    <x v="30"/>
    <x v="30"/>
    <x v="11"/>
    <x v="310"/>
    <x v="571"/>
    <x v="79"/>
    <x v="603"/>
    <x v="225"/>
    <x v="82"/>
    <x v="3"/>
  </r>
  <r>
    <x v="0"/>
    <x v="56"/>
    <x v="56"/>
    <x v="9"/>
    <x v="9"/>
    <x v="9"/>
    <x v="11"/>
    <x v="310"/>
    <x v="571"/>
    <x v="71"/>
    <x v="534"/>
    <x v="229"/>
    <x v="375"/>
    <x v="3"/>
  </r>
  <r>
    <x v="0"/>
    <x v="56"/>
    <x v="56"/>
    <x v="2"/>
    <x v="2"/>
    <x v="2"/>
    <x v="13"/>
    <x v="311"/>
    <x v="169"/>
    <x v="56"/>
    <x v="55"/>
    <x v="65"/>
    <x v="545"/>
    <x v="3"/>
  </r>
  <r>
    <x v="0"/>
    <x v="56"/>
    <x v="56"/>
    <x v="23"/>
    <x v="23"/>
    <x v="23"/>
    <x v="14"/>
    <x v="323"/>
    <x v="133"/>
    <x v="82"/>
    <x v="87"/>
    <x v="222"/>
    <x v="92"/>
    <x v="3"/>
  </r>
  <r>
    <x v="0"/>
    <x v="56"/>
    <x v="56"/>
    <x v="46"/>
    <x v="46"/>
    <x v="46"/>
    <x v="14"/>
    <x v="323"/>
    <x v="133"/>
    <x v="70"/>
    <x v="81"/>
    <x v="230"/>
    <x v="452"/>
    <x v="3"/>
  </r>
  <r>
    <x v="0"/>
    <x v="56"/>
    <x v="56"/>
    <x v="17"/>
    <x v="17"/>
    <x v="17"/>
    <x v="14"/>
    <x v="323"/>
    <x v="133"/>
    <x v="56"/>
    <x v="55"/>
    <x v="225"/>
    <x v="82"/>
    <x v="3"/>
  </r>
  <r>
    <x v="0"/>
    <x v="56"/>
    <x v="56"/>
    <x v="13"/>
    <x v="13"/>
    <x v="13"/>
    <x v="14"/>
    <x v="323"/>
    <x v="133"/>
    <x v="79"/>
    <x v="603"/>
    <x v="228"/>
    <x v="207"/>
    <x v="3"/>
  </r>
  <r>
    <x v="0"/>
    <x v="56"/>
    <x v="56"/>
    <x v="21"/>
    <x v="21"/>
    <x v="21"/>
    <x v="14"/>
    <x v="323"/>
    <x v="133"/>
    <x v="82"/>
    <x v="87"/>
    <x v="228"/>
    <x v="207"/>
    <x v="3"/>
  </r>
  <r>
    <x v="0"/>
    <x v="56"/>
    <x v="56"/>
    <x v="45"/>
    <x v="45"/>
    <x v="45"/>
    <x v="19"/>
    <x v="324"/>
    <x v="55"/>
    <x v="56"/>
    <x v="55"/>
    <x v="230"/>
    <x v="452"/>
    <x v="3"/>
  </r>
  <r>
    <x v="0"/>
    <x v="56"/>
    <x v="56"/>
    <x v="31"/>
    <x v="31"/>
    <x v="31"/>
    <x v="19"/>
    <x v="324"/>
    <x v="55"/>
    <x v="82"/>
    <x v="87"/>
    <x v="228"/>
    <x v="207"/>
    <x v="3"/>
  </r>
  <r>
    <x v="0"/>
    <x v="56"/>
    <x v="56"/>
    <x v="47"/>
    <x v="47"/>
    <x v="47"/>
    <x v="19"/>
    <x v="324"/>
    <x v="55"/>
    <x v="56"/>
    <x v="55"/>
    <x v="230"/>
    <x v="452"/>
    <x v="3"/>
  </r>
  <r>
    <x v="0"/>
    <x v="56"/>
    <x v="56"/>
    <x v="39"/>
    <x v="39"/>
    <x v="39"/>
    <x v="19"/>
    <x v="324"/>
    <x v="55"/>
    <x v="56"/>
    <x v="55"/>
    <x v="230"/>
    <x v="452"/>
    <x v="3"/>
  </r>
  <r>
    <x v="0"/>
    <x v="56"/>
    <x v="56"/>
    <x v="16"/>
    <x v="16"/>
    <x v="16"/>
    <x v="19"/>
    <x v="324"/>
    <x v="55"/>
    <x v="56"/>
    <x v="55"/>
    <x v="230"/>
    <x v="452"/>
    <x v="3"/>
  </r>
  <r>
    <x v="0"/>
    <x v="56"/>
    <x v="56"/>
    <x v="7"/>
    <x v="7"/>
    <x v="7"/>
    <x v="19"/>
    <x v="324"/>
    <x v="55"/>
    <x v="53"/>
    <x v="604"/>
    <x v="235"/>
    <x v="439"/>
    <x v="3"/>
  </r>
  <r>
    <x v="0"/>
    <x v="56"/>
    <x v="56"/>
    <x v="41"/>
    <x v="41"/>
    <x v="41"/>
    <x v="19"/>
    <x v="324"/>
    <x v="55"/>
    <x v="82"/>
    <x v="87"/>
    <x v="228"/>
    <x v="207"/>
    <x v="3"/>
  </r>
  <r>
    <x v="0"/>
    <x v="57"/>
    <x v="57"/>
    <x v="1"/>
    <x v="1"/>
    <x v="1"/>
    <x v="0"/>
    <x v="81"/>
    <x v="572"/>
    <x v="45"/>
    <x v="605"/>
    <x v="222"/>
    <x v="152"/>
    <x v="3"/>
  </r>
  <r>
    <x v="0"/>
    <x v="57"/>
    <x v="57"/>
    <x v="0"/>
    <x v="0"/>
    <x v="0"/>
    <x v="1"/>
    <x v="55"/>
    <x v="573"/>
    <x v="67"/>
    <x v="606"/>
    <x v="229"/>
    <x v="126"/>
    <x v="3"/>
  </r>
  <r>
    <x v="0"/>
    <x v="57"/>
    <x v="57"/>
    <x v="4"/>
    <x v="4"/>
    <x v="4"/>
    <x v="2"/>
    <x v="84"/>
    <x v="557"/>
    <x v="71"/>
    <x v="546"/>
    <x v="227"/>
    <x v="546"/>
    <x v="3"/>
  </r>
  <r>
    <x v="0"/>
    <x v="57"/>
    <x v="57"/>
    <x v="2"/>
    <x v="2"/>
    <x v="2"/>
    <x v="3"/>
    <x v="126"/>
    <x v="364"/>
    <x v="114"/>
    <x v="548"/>
    <x v="230"/>
    <x v="407"/>
    <x v="3"/>
  </r>
  <r>
    <x v="0"/>
    <x v="57"/>
    <x v="57"/>
    <x v="3"/>
    <x v="3"/>
    <x v="3"/>
    <x v="4"/>
    <x v="296"/>
    <x v="574"/>
    <x v="71"/>
    <x v="546"/>
    <x v="65"/>
    <x v="547"/>
    <x v="3"/>
  </r>
  <r>
    <x v="0"/>
    <x v="57"/>
    <x v="57"/>
    <x v="5"/>
    <x v="5"/>
    <x v="5"/>
    <x v="5"/>
    <x v="309"/>
    <x v="157"/>
    <x v="84"/>
    <x v="607"/>
    <x v="228"/>
    <x v="123"/>
    <x v="3"/>
  </r>
  <r>
    <x v="0"/>
    <x v="57"/>
    <x v="57"/>
    <x v="11"/>
    <x v="11"/>
    <x v="11"/>
    <x v="6"/>
    <x v="320"/>
    <x v="575"/>
    <x v="84"/>
    <x v="607"/>
    <x v="235"/>
    <x v="439"/>
    <x v="3"/>
  </r>
  <r>
    <x v="0"/>
    <x v="57"/>
    <x v="57"/>
    <x v="8"/>
    <x v="8"/>
    <x v="8"/>
    <x v="7"/>
    <x v="310"/>
    <x v="64"/>
    <x v="53"/>
    <x v="359"/>
    <x v="230"/>
    <x v="407"/>
    <x v="3"/>
  </r>
  <r>
    <x v="0"/>
    <x v="57"/>
    <x v="57"/>
    <x v="18"/>
    <x v="18"/>
    <x v="18"/>
    <x v="7"/>
    <x v="310"/>
    <x v="64"/>
    <x v="56"/>
    <x v="55"/>
    <x v="210"/>
    <x v="548"/>
    <x v="3"/>
  </r>
  <r>
    <x v="0"/>
    <x v="57"/>
    <x v="57"/>
    <x v="6"/>
    <x v="6"/>
    <x v="6"/>
    <x v="9"/>
    <x v="321"/>
    <x v="207"/>
    <x v="72"/>
    <x v="608"/>
    <x v="228"/>
    <x v="123"/>
    <x v="3"/>
  </r>
  <r>
    <x v="0"/>
    <x v="57"/>
    <x v="57"/>
    <x v="13"/>
    <x v="13"/>
    <x v="13"/>
    <x v="9"/>
    <x v="321"/>
    <x v="207"/>
    <x v="79"/>
    <x v="609"/>
    <x v="230"/>
    <x v="407"/>
    <x v="3"/>
  </r>
  <r>
    <x v="0"/>
    <x v="57"/>
    <x v="57"/>
    <x v="9"/>
    <x v="9"/>
    <x v="9"/>
    <x v="11"/>
    <x v="311"/>
    <x v="576"/>
    <x v="37"/>
    <x v="556"/>
    <x v="235"/>
    <x v="439"/>
    <x v="3"/>
  </r>
  <r>
    <x v="0"/>
    <x v="57"/>
    <x v="57"/>
    <x v="25"/>
    <x v="25"/>
    <x v="25"/>
    <x v="12"/>
    <x v="323"/>
    <x v="182"/>
    <x v="53"/>
    <x v="359"/>
    <x v="229"/>
    <x v="126"/>
    <x v="3"/>
  </r>
  <r>
    <x v="0"/>
    <x v="57"/>
    <x v="57"/>
    <x v="20"/>
    <x v="20"/>
    <x v="20"/>
    <x v="13"/>
    <x v="324"/>
    <x v="117"/>
    <x v="70"/>
    <x v="15"/>
    <x v="222"/>
    <x v="152"/>
    <x v="3"/>
  </r>
  <r>
    <x v="0"/>
    <x v="57"/>
    <x v="57"/>
    <x v="10"/>
    <x v="10"/>
    <x v="10"/>
    <x v="13"/>
    <x v="324"/>
    <x v="117"/>
    <x v="53"/>
    <x v="359"/>
    <x v="235"/>
    <x v="439"/>
    <x v="3"/>
  </r>
  <r>
    <x v="0"/>
    <x v="57"/>
    <x v="57"/>
    <x v="48"/>
    <x v="48"/>
    <x v="48"/>
    <x v="15"/>
    <x v="325"/>
    <x v="265"/>
    <x v="56"/>
    <x v="55"/>
    <x v="222"/>
    <x v="152"/>
    <x v="3"/>
  </r>
  <r>
    <x v="0"/>
    <x v="57"/>
    <x v="57"/>
    <x v="16"/>
    <x v="16"/>
    <x v="16"/>
    <x v="15"/>
    <x v="325"/>
    <x v="265"/>
    <x v="70"/>
    <x v="15"/>
    <x v="228"/>
    <x v="123"/>
    <x v="3"/>
  </r>
  <r>
    <x v="0"/>
    <x v="57"/>
    <x v="57"/>
    <x v="34"/>
    <x v="34"/>
    <x v="34"/>
    <x v="17"/>
    <x v="326"/>
    <x v="577"/>
    <x v="70"/>
    <x v="15"/>
    <x v="229"/>
    <x v="126"/>
    <x v="3"/>
  </r>
  <r>
    <x v="0"/>
    <x v="57"/>
    <x v="57"/>
    <x v="38"/>
    <x v="38"/>
    <x v="38"/>
    <x v="17"/>
    <x v="326"/>
    <x v="577"/>
    <x v="70"/>
    <x v="15"/>
    <x v="229"/>
    <x v="126"/>
    <x v="3"/>
  </r>
  <r>
    <x v="0"/>
    <x v="57"/>
    <x v="57"/>
    <x v="23"/>
    <x v="23"/>
    <x v="23"/>
    <x v="17"/>
    <x v="326"/>
    <x v="577"/>
    <x v="56"/>
    <x v="55"/>
    <x v="228"/>
    <x v="123"/>
    <x v="3"/>
  </r>
  <r>
    <x v="0"/>
    <x v="57"/>
    <x v="57"/>
    <x v="31"/>
    <x v="31"/>
    <x v="31"/>
    <x v="17"/>
    <x v="326"/>
    <x v="577"/>
    <x v="70"/>
    <x v="15"/>
    <x v="229"/>
    <x v="126"/>
    <x v="3"/>
  </r>
  <r>
    <x v="0"/>
    <x v="57"/>
    <x v="57"/>
    <x v="17"/>
    <x v="17"/>
    <x v="17"/>
    <x v="17"/>
    <x v="326"/>
    <x v="577"/>
    <x v="56"/>
    <x v="55"/>
    <x v="228"/>
    <x v="123"/>
    <x v="3"/>
  </r>
  <r>
    <x v="0"/>
    <x v="57"/>
    <x v="57"/>
    <x v="12"/>
    <x v="12"/>
    <x v="12"/>
    <x v="17"/>
    <x v="326"/>
    <x v="577"/>
    <x v="82"/>
    <x v="263"/>
    <x v="235"/>
    <x v="439"/>
    <x v="3"/>
  </r>
  <r>
    <x v="0"/>
    <x v="57"/>
    <x v="57"/>
    <x v="28"/>
    <x v="28"/>
    <x v="28"/>
    <x v="17"/>
    <x v="326"/>
    <x v="577"/>
    <x v="56"/>
    <x v="55"/>
    <x v="228"/>
    <x v="123"/>
    <x v="3"/>
  </r>
  <r>
    <x v="0"/>
    <x v="57"/>
    <x v="57"/>
    <x v="7"/>
    <x v="7"/>
    <x v="7"/>
    <x v="17"/>
    <x v="326"/>
    <x v="577"/>
    <x v="82"/>
    <x v="263"/>
    <x v="235"/>
    <x v="439"/>
    <x v="3"/>
  </r>
  <r>
    <x v="0"/>
    <x v="57"/>
    <x v="57"/>
    <x v="21"/>
    <x v="21"/>
    <x v="21"/>
    <x v="17"/>
    <x v="326"/>
    <x v="577"/>
    <x v="82"/>
    <x v="263"/>
    <x v="235"/>
    <x v="439"/>
    <x v="3"/>
  </r>
  <r>
    <x v="0"/>
    <x v="57"/>
    <x v="57"/>
    <x v="29"/>
    <x v="29"/>
    <x v="29"/>
    <x v="17"/>
    <x v="326"/>
    <x v="577"/>
    <x v="56"/>
    <x v="55"/>
    <x v="229"/>
    <x v="126"/>
    <x v="3"/>
  </r>
  <r>
    <x v="0"/>
    <x v="57"/>
    <x v="57"/>
    <x v="49"/>
    <x v="49"/>
    <x v="49"/>
    <x v="17"/>
    <x v="326"/>
    <x v="577"/>
    <x v="56"/>
    <x v="55"/>
    <x v="229"/>
    <x v="126"/>
    <x v="3"/>
  </r>
  <r>
    <x v="0"/>
    <x v="58"/>
    <x v="58"/>
    <x v="1"/>
    <x v="1"/>
    <x v="1"/>
    <x v="0"/>
    <x v="79"/>
    <x v="578"/>
    <x v="135"/>
    <x v="610"/>
    <x v="225"/>
    <x v="51"/>
    <x v="3"/>
  </r>
  <r>
    <x v="0"/>
    <x v="58"/>
    <x v="58"/>
    <x v="6"/>
    <x v="6"/>
    <x v="6"/>
    <x v="1"/>
    <x v="67"/>
    <x v="579"/>
    <x v="78"/>
    <x v="611"/>
    <x v="201"/>
    <x v="549"/>
    <x v="3"/>
  </r>
  <r>
    <x v="0"/>
    <x v="58"/>
    <x v="58"/>
    <x v="4"/>
    <x v="4"/>
    <x v="4"/>
    <x v="2"/>
    <x v="280"/>
    <x v="580"/>
    <x v="69"/>
    <x v="612"/>
    <x v="51"/>
    <x v="550"/>
    <x v="3"/>
  </r>
  <r>
    <x v="0"/>
    <x v="58"/>
    <x v="58"/>
    <x v="3"/>
    <x v="3"/>
    <x v="3"/>
    <x v="3"/>
    <x v="124"/>
    <x v="581"/>
    <x v="50"/>
    <x v="613"/>
    <x v="53"/>
    <x v="551"/>
    <x v="3"/>
  </r>
  <r>
    <x v="0"/>
    <x v="58"/>
    <x v="58"/>
    <x v="11"/>
    <x v="11"/>
    <x v="11"/>
    <x v="4"/>
    <x v="52"/>
    <x v="582"/>
    <x v="80"/>
    <x v="614"/>
    <x v="65"/>
    <x v="186"/>
    <x v="3"/>
  </r>
  <r>
    <x v="0"/>
    <x v="58"/>
    <x v="58"/>
    <x v="0"/>
    <x v="0"/>
    <x v="0"/>
    <x v="5"/>
    <x v="53"/>
    <x v="583"/>
    <x v="80"/>
    <x v="614"/>
    <x v="222"/>
    <x v="238"/>
    <x v="3"/>
  </r>
  <r>
    <x v="0"/>
    <x v="58"/>
    <x v="58"/>
    <x v="8"/>
    <x v="8"/>
    <x v="8"/>
    <x v="6"/>
    <x v="56"/>
    <x v="584"/>
    <x v="54"/>
    <x v="244"/>
    <x v="227"/>
    <x v="470"/>
    <x v="3"/>
  </r>
  <r>
    <x v="0"/>
    <x v="58"/>
    <x v="58"/>
    <x v="5"/>
    <x v="5"/>
    <x v="5"/>
    <x v="6"/>
    <x v="56"/>
    <x v="584"/>
    <x v="50"/>
    <x v="613"/>
    <x v="209"/>
    <x v="80"/>
    <x v="3"/>
  </r>
  <r>
    <x v="0"/>
    <x v="58"/>
    <x v="58"/>
    <x v="9"/>
    <x v="9"/>
    <x v="9"/>
    <x v="8"/>
    <x v="303"/>
    <x v="585"/>
    <x v="114"/>
    <x v="424"/>
    <x v="222"/>
    <x v="238"/>
    <x v="3"/>
  </r>
  <r>
    <x v="0"/>
    <x v="58"/>
    <x v="58"/>
    <x v="2"/>
    <x v="2"/>
    <x v="2"/>
    <x v="9"/>
    <x v="296"/>
    <x v="208"/>
    <x v="79"/>
    <x v="26"/>
    <x v="72"/>
    <x v="552"/>
    <x v="3"/>
  </r>
  <r>
    <x v="0"/>
    <x v="58"/>
    <x v="58"/>
    <x v="10"/>
    <x v="10"/>
    <x v="10"/>
    <x v="10"/>
    <x v="309"/>
    <x v="182"/>
    <x v="71"/>
    <x v="615"/>
    <x v="228"/>
    <x v="148"/>
    <x v="3"/>
  </r>
  <r>
    <x v="0"/>
    <x v="58"/>
    <x v="58"/>
    <x v="37"/>
    <x v="37"/>
    <x v="37"/>
    <x v="11"/>
    <x v="320"/>
    <x v="306"/>
    <x v="71"/>
    <x v="615"/>
    <x v="228"/>
    <x v="148"/>
    <x v="3"/>
  </r>
  <r>
    <x v="0"/>
    <x v="58"/>
    <x v="58"/>
    <x v="17"/>
    <x v="17"/>
    <x v="17"/>
    <x v="11"/>
    <x v="320"/>
    <x v="306"/>
    <x v="82"/>
    <x v="616"/>
    <x v="210"/>
    <x v="293"/>
    <x v="3"/>
  </r>
  <r>
    <x v="0"/>
    <x v="58"/>
    <x v="58"/>
    <x v="25"/>
    <x v="25"/>
    <x v="25"/>
    <x v="11"/>
    <x v="320"/>
    <x v="306"/>
    <x v="71"/>
    <x v="615"/>
    <x v="228"/>
    <x v="148"/>
    <x v="3"/>
  </r>
  <r>
    <x v="0"/>
    <x v="58"/>
    <x v="58"/>
    <x v="18"/>
    <x v="18"/>
    <x v="18"/>
    <x v="14"/>
    <x v="310"/>
    <x v="470"/>
    <x v="56"/>
    <x v="55"/>
    <x v="225"/>
    <x v="51"/>
    <x v="3"/>
  </r>
  <r>
    <x v="0"/>
    <x v="58"/>
    <x v="58"/>
    <x v="34"/>
    <x v="34"/>
    <x v="34"/>
    <x v="15"/>
    <x v="321"/>
    <x v="133"/>
    <x v="53"/>
    <x v="105"/>
    <x v="222"/>
    <x v="238"/>
    <x v="3"/>
  </r>
  <r>
    <x v="0"/>
    <x v="58"/>
    <x v="58"/>
    <x v="23"/>
    <x v="23"/>
    <x v="23"/>
    <x v="15"/>
    <x v="321"/>
    <x v="133"/>
    <x v="56"/>
    <x v="55"/>
    <x v="210"/>
    <x v="293"/>
    <x v="3"/>
  </r>
  <r>
    <x v="0"/>
    <x v="58"/>
    <x v="58"/>
    <x v="26"/>
    <x v="26"/>
    <x v="26"/>
    <x v="15"/>
    <x v="321"/>
    <x v="133"/>
    <x v="53"/>
    <x v="105"/>
    <x v="222"/>
    <x v="238"/>
    <x v="3"/>
  </r>
  <r>
    <x v="0"/>
    <x v="58"/>
    <x v="58"/>
    <x v="21"/>
    <x v="21"/>
    <x v="21"/>
    <x v="15"/>
    <x v="321"/>
    <x v="133"/>
    <x v="72"/>
    <x v="139"/>
    <x v="228"/>
    <x v="148"/>
    <x v="3"/>
  </r>
  <r>
    <x v="0"/>
    <x v="58"/>
    <x v="58"/>
    <x v="13"/>
    <x v="13"/>
    <x v="13"/>
    <x v="19"/>
    <x v="311"/>
    <x v="471"/>
    <x v="79"/>
    <x v="26"/>
    <x v="222"/>
    <x v="238"/>
    <x v="3"/>
  </r>
  <r>
    <x v="0"/>
    <x v="59"/>
    <x v="59"/>
    <x v="3"/>
    <x v="3"/>
    <x v="3"/>
    <x v="0"/>
    <x v="71"/>
    <x v="586"/>
    <x v="68"/>
    <x v="617"/>
    <x v="225"/>
    <x v="553"/>
    <x v="3"/>
  </r>
  <r>
    <x v="0"/>
    <x v="59"/>
    <x v="59"/>
    <x v="38"/>
    <x v="38"/>
    <x v="38"/>
    <x v="1"/>
    <x v="56"/>
    <x v="587"/>
    <x v="62"/>
    <x v="265"/>
    <x v="107"/>
    <x v="554"/>
    <x v="3"/>
  </r>
  <r>
    <x v="0"/>
    <x v="59"/>
    <x v="59"/>
    <x v="4"/>
    <x v="4"/>
    <x v="4"/>
    <x v="2"/>
    <x v="308"/>
    <x v="588"/>
    <x v="46"/>
    <x v="618"/>
    <x v="230"/>
    <x v="518"/>
    <x v="3"/>
  </r>
  <r>
    <x v="0"/>
    <x v="59"/>
    <x v="59"/>
    <x v="0"/>
    <x v="0"/>
    <x v="0"/>
    <x v="2"/>
    <x v="308"/>
    <x v="588"/>
    <x v="55"/>
    <x v="619"/>
    <x v="228"/>
    <x v="470"/>
    <x v="3"/>
  </r>
  <r>
    <x v="0"/>
    <x v="59"/>
    <x v="59"/>
    <x v="7"/>
    <x v="7"/>
    <x v="7"/>
    <x v="4"/>
    <x v="321"/>
    <x v="589"/>
    <x v="71"/>
    <x v="545"/>
    <x v="235"/>
    <x v="439"/>
    <x v="3"/>
  </r>
  <r>
    <x v="0"/>
    <x v="59"/>
    <x v="59"/>
    <x v="1"/>
    <x v="1"/>
    <x v="1"/>
    <x v="5"/>
    <x v="311"/>
    <x v="590"/>
    <x v="37"/>
    <x v="620"/>
    <x v="235"/>
    <x v="439"/>
    <x v="3"/>
  </r>
  <r>
    <x v="0"/>
    <x v="59"/>
    <x v="59"/>
    <x v="5"/>
    <x v="5"/>
    <x v="5"/>
    <x v="6"/>
    <x v="323"/>
    <x v="145"/>
    <x v="72"/>
    <x v="621"/>
    <x v="235"/>
    <x v="439"/>
    <x v="3"/>
  </r>
  <r>
    <x v="0"/>
    <x v="59"/>
    <x v="59"/>
    <x v="10"/>
    <x v="10"/>
    <x v="10"/>
    <x v="7"/>
    <x v="324"/>
    <x v="262"/>
    <x v="82"/>
    <x v="622"/>
    <x v="228"/>
    <x v="470"/>
    <x v="3"/>
  </r>
  <r>
    <x v="0"/>
    <x v="59"/>
    <x v="59"/>
    <x v="6"/>
    <x v="6"/>
    <x v="6"/>
    <x v="8"/>
    <x v="325"/>
    <x v="100"/>
    <x v="79"/>
    <x v="339"/>
    <x v="235"/>
    <x v="439"/>
    <x v="3"/>
  </r>
  <r>
    <x v="0"/>
    <x v="59"/>
    <x v="59"/>
    <x v="37"/>
    <x v="37"/>
    <x v="37"/>
    <x v="8"/>
    <x v="325"/>
    <x v="100"/>
    <x v="56"/>
    <x v="55"/>
    <x v="228"/>
    <x v="470"/>
    <x v="6"/>
  </r>
  <r>
    <x v="0"/>
    <x v="59"/>
    <x v="59"/>
    <x v="11"/>
    <x v="11"/>
    <x v="11"/>
    <x v="8"/>
    <x v="325"/>
    <x v="100"/>
    <x v="79"/>
    <x v="339"/>
    <x v="235"/>
    <x v="439"/>
    <x v="3"/>
  </r>
  <r>
    <x v="0"/>
    <x v="59"/>
    <x v="59"/>
    <x v="25"/>
    <x v="25"/>
    <x v="25"/>
    <x v="8"/>
    <x v="325"/>
    <x v="100"/>
    <x v="79"/>
    <x v="339"/>
    <x v="235"/>
    <x v="439"/>
    <x v="3"/>
  </r>
  <r>
    <x v="0"/>
    <x v="59"/>
    <x v="59"/>
    <x v="8"/>
    <x v="8"/>
    <x v="8"/>
    <x v="12"/>
    <x v="326"/>
    <x v="119"/>
    <x v="82"/>
    <x v="622"/>
    <x v="235"/>
    <x v="439"/>
    <x v="3"/>
  </r>
  <r>
    <x v="0"/>
    <x v="59"/>
    <x v="59"/>
    <x v="34"/>
    <x v="34"/>
    <x v="34"/>
    <x v="12"/>
    <x v="326"/>
    <x v="119"/>
    <x v="56"/>
    <x v="55"/>
    <x v="228"/>
    <x v="470"/>
    <x v="3"/>
  </r>
  <r>
    <x v="0"/>
    <x v="59"/>
    <x v="59"/>
    <x v="40"/>
    <x v="40"/>
    <x v="40"/>
    <x v="12"/>
    <x v="326"/>
    <x v="119"/>
    <x v="56"/>
    <x v="55"/>
    <x v="228"/>
    <x v="470"/>
    <x v="3"/>
  </r>
  <r>
    <x v="0"/>
    <x v="59"/>
    <x v="59"/>
    <x v="9"/>
    <x v="9"/>
    <x v="9"/>
    <x v="12"/>
    <x v="326"/>
    <x v="119"/>
    <x v="82"/>
    <x v="622"/>
    <x v="235"/>
    <x v="439"/>
    <x v="3"/>
  </r>
  <r>
    <x v="0"/>
    <x v="59"/>
    <x v="59"/>
    <x v="35"/>
    <x v="35"/>
    <x v="35"/>
    <x v="16"/>
    <x v="327"/>
    <x v="591"/>
    <x v="70"/>
    <x v="623"/>
    <x v="235"/>
    <x v="439"/>
    <x v="3"/>
  </r>
  <r>
    <x v="0"/>
    <x v="59"/>
    <x v="59"/>
    <x v="32"/>
    <x v="32"/>
    <x v="32"/>
    <x v="16"/>
    <x v="327"/>
    <x v="591"/>
    <x v="56"/>
    <x v="55"/>
    <x v="229"/>
    <x v="224"/>
    <x v="3"/>
  </r>
  <r>
    <x v="0"/>
    <x v="59"/>
    <x v="59"/>
    <x v="30"/>
    <x v="30"/>
    <x v="30"/>
    <x v="16"/>
    <x v="327"/>
    <x v="591"/>
    <x v="70"/>
    <x v="623"/>
    <x v="235"/>
    <x v="439"/>
    <x v="3"/>
  </r>
  <r>
    <x v="0"/>
    <x v="59"/>
    <x v="59"/>
    <x v="46"/>
    <x v="46"/>
    <x v="46"/>
    <x v="16"/>
    <x v="327"/>
    <x v="591"/>
    <x v="56"/>
    <x v="55"/>
    <x v="229"/>
    <x v="224"/>
    <x v="3"/>
  </r>
  <r>
    <x v="0"/>
    <x v="59"/>
    <x v="59"/>
    <x v="50"/>
    <x v="50"/>
    <x v="50"/>
    <x v="16"/>
    <x v="327"/>
    <x v="591"/>
    <x v="56"/>
    <x v="55"/>
    <x v="235"/>
    <x v="439"/>
    <x v="3"/>
  </r>
  <r>
    <x v="0"/>
    <x v="59"/>
    <x v="59"/>
    <x v="14"/>
    <x v="14"/>
    <x v="14"/>
    <x v="16"/>
    <x v="327"/>
    <x v="591"/>
    <x v="70"/>
    <x v="623"/>
    <x v="235"/>
    <x v="439"/>
    <x v="3"/>
  </r>
  <r>
    <x v="0"/>
    <x v="59"/>
    <x v="59"/>
    <x v="28"/>
    <x v="28"/>
    <x v="28"/>
    <x v="16"/>
    <x v="327"/>
    <x v="591"/>
    <x v="56"/>
    <x v="55"/>
    <x v="229"/>
    <x v="224"/>
    <x v="3"/>
  </r>
  <r>
    <x v="0"/>
    <x v="59"/>
    <x v="59"/>
    <x v="21"/>
    <x v="21"/>
    <x v="21"/>
    <x v="16"/>
    <x v="327"/>
    <x v="591"/>
    <x v="56"/>
    <x v="55"/>
    <x v="229"/>
    <x v="224"/>
    <x v="3"/>
  </r>
  <r>
    <x v="0"/>
    <x v="60"/>
    <x v="60"/>
    <x v="4"/>
    <x v="4"/>
    <x v="4"/>
    <x v="0"/>
    <x v="54"/>
    <x v="592"/>
    <x v="106"/>
    <x v="624"/>
    <x v="63"/>
    <x v="555"/>
    <x v="3"/>
  </r>
  <r>
    <x v="0"/>
    <x v="60"/>
    <x v="60"/>
    <x v="1"/>
    <x v="1"/>
    <x v="1"/>
    <x v="1"/>
    <x v="71"/>
    <x v="593"/>
    <x v="182"/>
    <x v="625"/>
    <x v="230"/>
    <x v="13"/>
    <x v="3"/>
  </r>
  <r>
    <x v="0"/>
    <x v="60"/>
    <x v="60"/>
    <x v="5"/>
    <x v="5"/>
    <x v="5"/>
    <x v="2"/>
    <x v="294"/>
    <x v="594"/>
    <x v="91"/>
    <x v="626"/>
    <x v="222"/>
    <x v="15"/>
    <x v="3"/>
  </r>
  <r>
    <x v="0"/>
    <x v="60"/>
    <x v="60"/>
    <x v="25"/>
    <x v="25"/>
    <x v="25"/>
    <x v="3"/>
    <x v="304"/>
    <x v="595"/>
    <x v="69"/>
    <x v="627"/>
    <x v="235"/>
    <x v="439"/>
    <x v="3"/>
  </r>
  <r>
    <x v="0"/>
    <x v="60"/>
    <x v="60"/>
    <x v="3"/>
    <x v="3"/>
    <x v="3"/>
    <x v="4"/>
    <x v="296"/>
    <x v="596"/>
    <x v="46"/>
    <x v="560"/>
    <x v="225"/>
    <x v="556"/>
    <x v="3"/>
  </r>
  <r>
    <x v="0"/>
    <x v="60"/>
    <x v="60"/>
    <x v="8"/>
    <x v="8"/>
    <x v="8"/>
    <x v="5"/>
    <x v="309"/>
    <x v="597"/>
    <x v="53"/>
    <x v="184"/>
    <x v="210"/>
    <x v="430"/>
    <x v="3"/>
  </r>
  <r>
    <x v="0"/>
    <x v="60"/>
    <x v="60"/>
    <x v="11"/>
    <x v="11"/>
    <x v="11"/>
    <x v="5"/>
    <x v="309"/>
    <x v="597"/>
    <x v="106"/>
    <x v="624"/>
    <x v="235"/>
    <x v="439"/>
    <x v="3"/>
  </r>
  <r>
    <x v="0"/>
    <x v="60"/>
    <x v="60"/>
    <x v="10"/>
    <x v="10"/>
    <x v="10"/>
    <x v="7"/>
    <x v="322"/>
    <x v="261"/>
    <x v="55"/>
    <x v="628"/>
    <x v="235"/>
    <x v="439"/>
    <x v="3"/>
  </r>
  <r>
    <x v="0"/>
    <x v="60"/>
    <x v="60"/>
    <x v="9"/>
    <x v="9"/>
    <x v="9"/>
    <x v="7"/>
    <x v="322"/>
    <x v="261"/>
    <x v="46"/>
    <x v="560"/>
    <x v="228"/>
    <x v="107"/>
    <x v="3"/>
  </r>
  <r>
    <x v="0"/>
    <x v="60"/>
    <x v="60"/>
    <x v="6"/>
    <x v="6"/>
    <x v="6"/>
    <x v="9"/>
    <x v="320"/>
    <x v="332"/>
    <x v="72"/>
    <x v="477"/>
    <x v="230"/>
    <x v="13"/>
    <x v="3"/>
  </r>
  <r>
    <x v="0"/>
    <x v="60"/>
    <x v="60"/>
    <x v="0"/>
    <x v="0"/>
    <x v="0"/>
    <x v="9"/>
    <x v="320"/>
    <x v="332"/>
    <x v="84"/>
    <x v="629"/>
    <x v="235"/>
    <x v="439"/>
    <x v="3"/>
  </r>
  <r>
    <x v="0"/>
    <x v="60"/>
    <x v="60"/>
    <x v="39"/>
    <x v="39"/>
    <x v="39"/>
    <x v="11"/>
    <x v="321"/>
    <x v="48"/>
    <x v="82"/>
    <x v="414"/>
    <x v="225"/>
    <x v="556"/>
    <x v="3"/>
  </r>
  <r>
    <x v="0"/>
    <x v="60"/>
    <x v="60"/>
    <x v="18"/>
    <x v="18"/>
    <x v="18"/>
    <x v="11"/>
    <x v="321"/>
    <x v="48"/>
    <x v="56"/>
    <x v="55"/>
    <x v="65"/>
    <x v="454"/>
    <x v="3"/>
  </r>
  <r>
    <x v="0"/>
    <x v="60"/>
    <x v="60"/>
    <x v="14"/>
    <x v="14"/>
    <x v="14"/>
    <x v="13"/>
    <x v="311"/>
    <x v="371"/>
    <x v="70"/>
    <x v="123"/>
    <x v="225"/>
    <x v="556"/>
    <x v="3"/>
  </r>
  <r>
    <x v="0"/>
    <x v="60"/>
    <x v="60"/>
    <x v="16"/>
    <x v="16"/>
    <x v="16"/>
    <x v="13"/>
    <x v="311"/>
    <x v="371"/>
    <x v="82"/>
    <x v="414"/>
    <x v="230"/>
    <x v="13"/>
    <x v="3"/>
  </r>
  <r>
    <x v="0"/>
    <x v="60"/>
    <x v="60"/>
    <x v="23"/>
    <x v="23"/>
    <x v="23"/>
    <x v="15"/>
    <x v="323"/>
    <x v="101"/>
    <x v="56"/>
    <x v="55"/>
    <x v="225"/>
    <x v="556"/>
    <x v="3"/>
  </r>
  <r>
    <x v="0"/>
    <x v="60"/>
    <x v="60"/>
    <x v="26"/>
    <x v="26"/>
    <x v="26"/>
    <x v="15"/>
    <x v="323"/>
    <x v="101"/>
    <x v="70"/>
    <x v="123"/>
    <x v="230"/>
    <x v="13"/>
    <x v="3"/>
  </r>
  <r>
    <x v="0"/>
    <x v="60"/>
    <x v="60"/>
    <x v="20"/>
    <x v="20"/>
    <x v="20"/>
    <x v="15"/>
    <x v="323"/>
    <x v="101"/>
    <x v="53"/>
    <x v="184"/>
    <x v="229"/>
    <x v="389"/>
    <x v="3"/>
  </r>
  <r>
    <x v="0"/>
    <x v="60"/>
    <x v="60"/>
    <x v="30"/>
    <x v="30"/>
    <x v="30"/>
    <x v="18"/>
    <x v="324"/>
    <x v="239"/>
    <x v="56"/>
    <x v="55"/>
    <x v="230"/>
    <x v="13"/>
    <x v="3"/>
  </r>
  <r>
    <x v="0"/>
    <x v="60"/>
    <x v="60"/>
    <x v="15"/>
    <x v="15"/>
    <x v="15"/>
    <x v="18"/>
    <x v="324"/>
    <x v="239"/>
    <x v="70"/>
    <x v="123"/>
    <x v="222"/>
    <x v="15"/>
    <x v="3"/>
  </r>
  <r>
    <x v="0"/>
    <x v="60"/>
    <x v="60"/>
    <x v="51"/>
    <x v="51"/>
    <x v="51"/>
    <x v="18"/>
    <x v="324"/>
    <x v="239"/>
    <x v="56"/>
    <x v="55"/>
    <x v="235"/>
    <x v="439"/>
    <x v="12"/>
  </r>
  <r>
    <x v="0"/>
    <x v="61"/>
    <x v="61"/>
    <x v="1"/>
    <x v="1"/>
    <x v="1"/>
    <x v="0"/>
    <x v="82"/>
    <x v="598"/>
    <x v="78"/>
    <x v="630"/>
    <x v="222"/>
    <x v="82"/>
    <x v="3"/>
  </r>
  <r>
    <x v="0"/>
    <x v="61"/>
    <x v="61"/>
    <x v="3"/>
    <x v="3"/>
    <x v="3"/>
    <x v="1"/>
    <x v="56"/>
    <x v="558"/>
    <x v="62"/>
    <x v="545"/>
    <x v="107"/>
    <x v="557"/>
    <x v="3"/>
  </r>
  <r>
    <x v="0"/>
    <x v="61"/>
    <x v="61"/>
    <x v="2"/>
    <x v="2"/>
    <x v="2"/>
    <x v="2"/>
    <x v="72"/>
    <x v="599"/>
    <x v="83"/>
    <x v="182"/>
    <x v="225"/>
    <x v="532"/>
    <x v="3"/>
  </r>
  <r>
    <x v="0"/>
    <x v="61"/>
    <x v="61"/>
    <x v="11"/>
    <x v="11"/>
    <x v="11"/>
    <x v="3"/>
    <x v="125"/>
    <x v="600"/>
    <x v="64"/>
    <x v="470"/>
    <x v="222"/>
    <x v="82"/>
    <x v="3"/>
  </r>
  <r>
    <x v="0"/>
    <x v="61"/>
    <x v="61"/>
    <x v="4"/>
    <x v="4"/>
    <x v="4"/>
    <x v="4"/>
    <x v="85"/>
    <x v="601"/>
    <x v="84"/>
    <x v="631"/>
    <x v="72"/>
    <x v="530"/>
    <x v="3"/>
  </r>
  <r>
    <x v="0"/>
    <x v="61"/>
    <x v="61"/>
    <x v="6"/>
    <x v="6"/>
    <x v="6"/>
    <x v="5"/>
    <x v="304"/>
    <x v="477"/>
    <x v="106"/>
    <x v="632"/>
    <x v="230"/>
    <x v="558"/>
    <x v="3"/>
  </r>
  <r>
    <x v="0"/>
    <x v="61"/>
    <x v="61"/>
    <x v="10"/>
    <x v="10"/>
    <x v="10"/>
    <x v="5"/>
    <x v="304"/>
    <x v="477"/>
    <x v="55"/>
    <x v="166"/>
    <x v="225"/>
    <x v="532"/>
    <x v="3"/>
  </r>
  <r>
    <x v="0"/>
    <x v="61"/>
    <x v="61"/>
    <x v="33"/>
    <x v="33"/>
    <x v="33"/>
    <x v="7"/>
    <x v="295"/>
    <x v="144"/>
    <x v="91"/>
    <x v="221"/>
    <x v="229"/>
    <x v="8"/>
    <x v="3"/>
  </r>
  <r>
    <x v="0"/>
    <x v="61"/>
    <x v="61"/>
    <x v="5"/>
    <x v="5"/>
    <x v="5"/>
    <x v="7"/>
    <x v="295"/>
    <x v="144"/>
    <x v="91"/>
    <x v="221"/>
    <x v="229"/>
    <x v="8"/>
    <x v="3"/>
  </r>
  <r>
    <x v="0"/>
    <x v="61"/>
    <x v="61"/>
    <x v="0"/>
    <x v="0"/>
    <x v="0"/>
    <x v="9"/>
    <x v="308"/>
    <x v="63"/>
    <x v="55"/>
    <x v="166"/>
    <x v="228"/>
    <x v="559"/>
    <x v="3"/>
  </r>
  <r>
    <x v="0"/>
    <x v="61"/>
    <x v="61"/>
    <x v="32"/>
    <x v="32"/>
    <x v="32"/>
    <x v="10"/>
    <x v="322"/>
    <x v="370"/>
    <x v="37"/>
    <x v="67"/>
    <x v="230"/>
    <x v="558"/>
    <x v="3"/>
  </r>
  <r>
    <x v="0"/>
    <x v="61"/>
    <x v="61"/>
    <x v="9"/>
    <x v="9"/>
    <x v="9"/>
    <x v="10"/>
    <x v="322"/>
    <x v="370"/>
    <x v="46"/>
    <x v="552"/>
    <x v="228"/>
    <x v="559"/>
    <x v="3"/>
  </r>
  <r>
    <x v="0"/>
    <x v="61"/>
    <x v="61"/>
    <x v="8"/>
    <x v="8"/>
    <x v="8"/>
    <x v="12"/>
    <x v="310"/>
    <x v="326"/>
    <x v="72"/>
    <x v="429"/>
    <x v="222"/>
    <x v="82"/>
    <x v="3"/>
  </r>
  <r>
    <x v="0"/>
    <x v="61"/>
    <x v="61"/>
    <x v="23"/>
    <x v="23"/>
    <x v="23"/>
    <x v="12"/>
    <x v="310"/>
    <x v="326"/>
    <x v="82"/>
    <x v="284"/>
    <x v="65"/>
    <x v="542"/>
    <x v="3"/>
  </r>
  <r>
    <x v="0"/>
    <x v="61"/>
    <x v="61"/>
    <x v="25"/>
    <x v="25"/>
    <x v="25"/>
    <x v="12"/>
    <x v="310"/>
    <x v="326"/>
    <x v="46"/>
    <x v="552"/>
    <x v="235"/>
    <x v="439"/>
    <x v="3"/>
  </r>
  <r>
    <x v="0"/>
    <x v="61"/>
    <x v="61"/>
    <x v="12"/>
    <x v="12"/>
    <x v="12"/>
    <x v="15"/>
    <x v="321"/>
    <x v="602"/>
    <x v="72"/>
    <x v="429"/>
    <x v="228"/>
    <x v="559"/>
    <x v="3"/>
  </r>
  <r>
    <x v="0"/>
    <x v="61"/>
    <x v="61"/>
    <x v="30"/>
    <x v="30"/>
    <x v="30"/>
    <x v="16"/>
    <x v="311"/>
    <x v="71"/>
    <x v="82"/>
    <x v="284"/>
    <x v="230"/>
    <x v="558"/>
    <x v="3"/>
  </r>
  <r>
    <x v="0"/>
    <x v="61"/>
    <x v="61"/>
    <x v="16"/>
    <x v="16"/>
    <x v="16"/>
    <x v="16"/>
    <x v="311"/>
    <x v="71"/>
    <x v="82"/>
    <x v="284"/>
    <x v="230"/>
    <x v="558"/>
    <x v="3"/>
  </r>
  <r>
    <x v="0"/>
    <x v="61"/>
    <x v="61"/>
    <x v="7"/>
    <x v="7"/>
    <x v="7"/>
    <x v="16"/>
    <x v="311"/>
    <x v="71"/>
    <x v="37"/>
    <x v="67"/>
    <x v="235"/>
    <x v="439"/>
    <x v="3"/>
  </r>
  <r>
    <x v="0"/>
    <x v="61"/>
    <x v="61"/>
    <x v="37"/>
    <x v="37"/>
    <x v="37"/>
    <x v="19"/>
    <x v="323"/>
    <x v="238"/>
    <x v="70"/>
    <x v="633"/>
    <x v="230"/>
    <x v="558"/>
    <x v="3"/>
  </r>
  <r>
    <x v="0"/>
    <x v="61"/>
    <x v="61"/>
    <x v="26"/>
    <x v="26"/>
    <x v="26"/>
    <x v="19"/>
    <x v="323"/>
    <x v="238"/>
    <x v="70"/>
    <x v="633"/>
    <x v="230"/>
    <x v="558"/>
    <x v="3"/>
  </r>
  <r>
    <x v="0"/>
    <x v="61"/>
    <x v="61"/>
    <x v="17"/>
    <x v="17"/>
    <x v="17"/>
    <x v="19"/>
    <x v="323"/>
    <x v="238"/>
    <x v="79"/>
    <x v="304"/>
    <x v="228"/>
    <x v="559"/>
    <x v="3"/>
  </r>
  <r>
    <x v="0"/>
    <x v="61"/>
    <x v="61"/>
    <x v="15"/>
    <x v="15"/>
    <x v="15"/>
    <x v="19"/>
    <x v="323"/>
    <x v="238"/>
    <x v="82"/>
    <x v="284"/>
    <x v="222"/>
    <x v="82"/>
    <x v="3"/>
  </r>
  <r>
    <x v="0"/>
    <x v="62"/>
    <x v="62"/>
    <x v="1"/>
    <x v="1"/>
    <x v="1"/>
    <x v="0"/>
    <x v="233"/>
    <x v="603"/>
    <x v="221"/>
    <x v="634"/>
    <x v="228"/>
    <x v="484"/>
    <x v="3"/>
  </r>
  <r>
    <x v="0"/>
    <x v="62"/>
    <x v="62"/>
    <x v="3"/>
    <x v="3"/>
    <x v="3"/>
    <x v="1"/>
    <x v="81"/>
    <x v="604"/>
    <x v="68"/>
    <x v="635"/>
    <x v="72"/>
    <x v="470"/>
    <x v="3"/>
  </r>
  <r>
    <x v="0"/>
    <x v="62"/>
    <x v="62"/>
    <x v="4"/>
    <x v="4"/>
    <x v="4"/>
    <x v="2"/>
    <x v="82"/>
    <x v="605"/>
    <x v="91"/>
    <x v="636"/>
    <x v="205"/>
    <x v="560"/>
    <x v="3"/>
  </r>
  <r>
    <x v="0"/>
    <x v="62"/>
    <x v="62"/>
    <x v="0"/>
    <x v="0"/>
    <x v="0"/>
    <x v="3"/>
    <x v="71"/>
    <x v="4"/>
    <x v="52"/>
    <x v="637"/>
    <x v="222"/>
    <x v="493"/>
    <x v="3"/>
  </r>
  <r>
    <x v="0"/>
    <x v="62"/>
    <x v="62"/>
    <x v="25"/>
    <x v="25"/>
    <x v="25"/>
    <x v="4"/>
    <x v="83"/>
    <x v="300"/>
    <x v="68"/>
    <x v="635"/>
    <x v="222"/>
    <x v="493"/>
    <x v="3"/>
  </r>
  <r>
    <x v="0"/>
    <x v="62"/>
    <x v="62"/>
    <x v="6"/>
    <x v="6"/>
    <x v="6"/>
    <x v="5"/>
    <x v="84"/>
    <x v="606"/>
    <x v="55"/>
    <x v="638"/>
    <x v="72"/>
    <x v="470"/>
    <x v="3"/>
  </r>
  <r>
    <x v="0"/>
    <x v="62"/>
    <x v="62"/>
    <x v="11"/>
    <x v="11"/>
    <x v="11"/>
    <x v="5"/>
    <x v="84"/>
    <x v="606"/>
    <x v="69"/>
    <x v="394"/>
    <x v="225"/>
    <x v="224"/>
    <x v="3"/>
  </r>
  <r>
    <x v="0"/>
    <x v="62"/>
    <x v="62"/>
    <x v="5"/>
    <x v="5"/>
    <x v="5"/>
    <x v="7"/>
    <x v="303"/>
    <x v="260"/>
    <x v="69"/>
    <x v="394"/>
    <x v="228"/>
    <x v="484"/>
    <x v="3"/>
  </r>
  <r>
    <x v="0"/>
    <x v="62"/>
    <x v="62"/>
    <x v="2"/>
    <x v="2"/>
    <x v="2"/>
    <x v="7"/>
    <x v="303"/>
    <x v="260"/>
    <x v="84"/>
    <x v="451"/>
    <x v="209"/>
    <x v="179"/>
    <x v="3"/>
  </r>
  <r>
    <x v="0"/>
    <x v="62"/>
    <x v="62"/>
    <x v="36"/>
    <x v="36"/>
    <x v="36"/>
    <x v="9"/>
    <x v="294"/>
    <x v="422"/>
    <x v="55"/>
    <x v="638"/>
    <x v="65"/>
    <x v="561"/>
    <x v="3"/>
  </r>
  <r>
    <x v="0"/>
    <x v="62"/>
    <x v="62"/>
    <x v="9"/>
    <x v="9"/>
    <x v="9"/>
    <x v="10"/>
    <x v="304"/>
    <x v="313"/>
    <x v="91"/>
    <x v="636"/>
    <x v="228"/>
    <x v="484"/>
    <x v="3"/>
  </r>
  <r>
    <x v="0"/>
    <x v="62"/>
    <x v="62"/>
    <x v="10"/>
    <x v="10"/>
    <x v="10"/>
    <x v="11"/>
    <x v="309"/>
    <x v="98"/>
    <x v="84"/>
    <x v="451"/>
    <x v="229"/>
    <x v="405"/>
    <x v="3"/>
  </r>
  <r>
    <x v="0"/>
    <x v="62"/>
    <x v="62"/>
    <x v="8"/>
    <x v="8"/>
    <x v="8"/>
    <x v="12"/>
    <x v="322"/>
    <x v="571"/>
    <x v="72"/>
    <x v="85"/>
    <x v="225"/>
    <x v="224"/>
    <x v="3"/>
  </r>
  <r>
    <x v="0"/>
    <x v="62"/>
    <x v="62"/>
    <x v="17"/>
    <x v="17"/>
    <x v="17"/>
    <x v="13"/>
    <x v="320"/>
    <x v="222"/>
    <x v="70"/>
    <x v="319"/>
    <x v="209"/>
    <x v="179"/>
    <x v="3"/>
  </r>
  <r>
    <x v="0"/>
    <x v="62"/>
    <x v="62"/>
    <x v="18"/>
    <x v="18"/>
    <x v="18"/>
    <x v="13"/>
    <x v="320"/>
    <x v="222"/>
    <x v="56"/>
    <x v="55"/>
    <x v="209"/>
    <x v="179"/>
    <x v="3"/>
  </r>
  <r>
    <x v="0"/>
    <x v="62"/>
    <x v="62"/>
    <x v="32"/>
    <x v="32"/>
    <x v="32"/>
    <x v="15"/>
    <x v="310"/>
    <x v="264"/>
    <x v="37"/>
    <x v="434"/>
    <x v="228"/>
    <x v="484"/>
    <x v="3"/>
  </r>
  <r>
    <x v="0"/>
    <x v="62"/>
    <x v="62"/>
    <x v="28"/>
    <x v="28"/>
    <x v="28"/>
    <x v="15"/>
    <x v="310"/>
    <x v="264"/>
    <x v="82"/>
    <x v="616"/>
    <x v="65"/>
    <x v="561"/>
    <x v="3"/>
  </r>
  <r>
    <x v="0"/>
    <x v="62"/>
    <x v="62"/>
    <x v="12"/>
    <x v="12"/>
    <x v="12"/>
    <x v="17"/>
    <x v="321"/>
    <x v="34"/>
    <x v="71"/>
    <x v="568"/>
    <x v="235"/>
    <x v="439"/>
    <x v="3"/>
  </r>
  <r>
    <x v="0"/>
    <x v="62"/>
    <x v="62"/>
    <x v="13"/>
    <x v="13"/>
    <x v="13"/>
    <x v="17"/>
    <x v="321"/>
    <x v="34"/>
    <x v="82"/>
    <x v="616"/>
    <x v="225"/>
    <x v="224"/>
    <x v="3"/>
  </r>
  <r>
    <x v="0"/>
    <x v="62"/>
    <x v="62"/>
    <x v="35"/>
    <x v="35"/>
    <x v="35"/>
    <x v="19"/>
    <x v="311"/>
    <x v="38"/>
    <x v="72"/>
    <x v="85"/>
    <x v="235"/>
    <x v="439"/>
    <x v="6"/>
  </r>
  <r>
    <x v="0"/>
    <x v="62"/>
    <x v="62"/>
    <x v="23"/>
    <x v="23"/>
    <x v="23"/>
    <x v="19"/>
    <x v="311"/>
    <x v="38"/>
    <x v="82"/>
    <x v="616"/>
    <x v="230"/>
    <x v="27"/>
    <x v="3"/>
  </r>
  <r>
    <x v="0"/>
    <x v="62"/>
    <x v="62"/>
    <x v="26"/>
    <x v="26"/>
    <x v="26"/>
    <x v="19"/>
    <x v="311"/>
    <x v="38"/>
    <x v="82"/>
    <x v="616"/>
    <x v="230"/>
    <x v="27"/>
    <x v="3"/>
  </r>
  <r>
    <x v="0"/>
    <x v="62"/>
    <x v="62"/>
    <x v="14"/>
    <x v="14"/>
    <x v="14"/>
    <x v="19"/>
    <x v="311"/>
    <x v="38"/>
    <x v="82"/>
    <x v="616"/>
    <x v="230"/>
    <x v="27"/>
    <x v="3"/>
  </r>
  <r>
    <x v="0"/>
    <x v="63"/>
    <x v="63"/>
    <x v="1"/>
    <x v="1"/>
    <x v="1"/>
    <x v="0"/>
    <x v="55"/>
    <x v="607"/>
    <x v="78"/>
    <x v="639"/>
    <x v="228"/>
    <x v="105"/>
    <x v="3"/>
  </r>
  <r>
    <x v="0"/>
    <x v="63"/>
    <x v="63"/>
    <x v="4"/>
    <x v="4"/>
    <x v="4"/>
    <x v="1"/>
    <x v="282"/>
    <x v="517"/>
    <x v="84"/>
    <x v="640"/>
    <x v="57"/>
    <x v="562"/>
    <x v="3"/>
  </r>
  <r>
    <x v="0"/>
    <x v="63"/>
    <x v="63"/>
    <x v="5"/>
    <x v="5"/>
    <x v="5"/>
    <x v="2"/>
    <x v="84"/>
    <x v="472"/>
    <x v="64"/>
    <x v="641"/>
    <x v="229"/>
    <x v="294"/>
    <x v="3"/>
  </r>
  <r>
    <x v="0"/>
    <x v="63"/>
    <x v="63"/>
    <x v="3"/>
    <x v="3"/>
    <x v="3"/>
    <x v="3"/>
    <x v="294"/>
    <x v="364"/>
    <x v="46"/>
    <x v="642"/>
    <x v="209"/>
    <x v="563"/>
    <x v="3"/>
  </r>
  <r>
    <x v="0"/>
    <x v="63"/>
    <x v="63"/>
    <x v="0"/>
    <x v="0"/>
    <x v="0"/>
    <x v="4"/>
    <x v="322"/>
    <x v="499"/>
    <x v="84"/>
    <x v="640"/>
    <x v="229"/>
    <x v="294"/>
    <x v="3"/>
  </r>
  <r>
    <x v="0"/>
    <x v="63"/>
    <x v="63"/>
    <x v="25"/>
    <x v="25"/>
    <x v="25"/>
    <x v="5"/>
    <x v="321"/>
    <x v="493"/>
    <x v="37"/>
    <x v="636"/>
    <x v="229"/>
    <x v="294"/>
    <x v="3"/>
  </r>
  <r>
    <x v="0"/>
    <x v="63"/>
    <x v="63"/>
    <x v="6"/>
    <x v="6"/>
    <x v="6"/>
    <x v="6"/>
    <x v="311"/>
    <x v="402"/>
    <x v="53"/>
    <x v="643"/>
    <x v="228"/>
    <x v="105"/>
    <x v="3"/>
  </r>
  <r>
    <x v="0"/>
    <x v="63"/>
    <x v="63"/>
    <x v="8"/>
    <x v="8"/>
    <x v="8"/>
    <x v="6"/>
    <x v="311"/>
    <x v="402"/>
    <x v="79"/>
    <x v="644"/>
    <x v="222"/>
    <x v="321"/>
    <x v="3"/>
  </r>
  <r>
    <x v="0"/>
    <x v="63"/>
    <x v="63"/>
    <x v="23"/>
    <x v="23"/>
    <x v="23"/>
    <x v="6"/>
    <x v="311"/>
    <x v="402"/>
    <x v="82"/>
    <x v="183"/>
    <x v="230"/>
    <x v="564"/>
    <x v="3"/>
  </r>
  <r>
    <x v="0"/>
    <x v="63"/>
    <x v="63"/>
    <x v="18"/>
    <x v="18"/>
    <x v="18"/>
    <x v="6"/>
    <x v="311"/>
    <x v="402"/>
    <x v="56"/>
    <x v="55"/>
    <x v="230"/>
    <x v="564"/>
    <x v="3"/>
  </r>
  <r>
    <x v="0"/>
    <x v="63"/>
    <x v="63"/>
    <x v="38"/>
    <x v="38"/>
    <x v="38"/>
    <x v="10"/>
    <x v="323"/>
    <x v="325"/>
    <x v="82"/>
    <x v="183"/>
    <x v="222"/>
    <x v="321"/>
    <x v="3"/>
  </r>
  <r>
    <x v="0"/>
    <x v="63"/>
    <x v="63"/>
    <x v="12"/>
    <x v="12"/>
    <x v="12"/>
    <x v="10"/>
    <x v="323"/>
    <x v="325"/>
    <x v="53"/>
    <x v="643"/>
    <x v="229"/>
    <x v="294"/>
    <x v="3"/>
  </r>
  <r>
    <x v="0"/>
    <x v="63"/>
    <x v="63"/>
    <x v="11"/>
    <x v="11"/>
    <x v="11"/>
    <x v="10"/>
    <x v="323"/>
    <x v="325"/>
    <x v="72"/>
    <x v="645"/>
    <x v="235"/>
    <x v="439"/>
    <x v="3"/>
  </r>
  <r>
    <x v="0"/>
    <x v="63"/>
    <x v="63"/>
    <x v="13"/>
    <x v="13"/>
    <x v="13"/>
    <x v="10"/>
    <x v="323"/>
    <x v="325"/>
    <x v="53"/>
    <x v="643"/>
    <x v="229"/>
    <x v="294"/>
    <x v="3"/>
  </r>
  <r>
    <x v="0"/>
    <x v="63"/>
    <x v="63"/>
    <x v="21"/>
    <x v="21"/>
    <x v="21"/>
    <x v="10"/>
    <x v="323"/>
    <x v="325"/>
    <x v="82"/>
    <x v="183"/>
    <x v="228"/>
    <x v="105"/>
    <x v="3"/>
  </r>
  <r>
    <x v="0"/>
    <x v="63"/>
    <x v="63"/>
    <x v="10"/>
    <x v="10"/>
    <x v="10"/>
    <x v="10"/>
    <x v="323"/>
    <x v="325"/>
    <x v="70"/>
    <x v="646"/>
    <x v="222"/>
    <x v="321"/>
    <x v="3"/>
  </r>
  <r>
    <x v="0"/>
    <x v="63"/>
    <x v="63"/>
    <x v="9"/>
    <x v="9"/>
    <x v="9"/>
    <x v="10"/>
    <x v="323"/>
    <x v="325"/>
    <x v="72"/>
    <x v="645"/>
    <x v="235"/>
    <x v="439"/>
    <x v="3"/>
  </r>
  <r>
    <x v="0"/>
    <x v="63"/>
    <x v="63"/>
    <x v="17"/>
    <x v="17"/>
    <x v="17"/>
    <x v="17"/>
    <x v="324"/>
    <x v="14"/>
    <x v="79"/>
    <x v="644"/>
    <x v="229"/>
    <x v="294"/>
    <x v="3"/>
  </r>
  <r>
    <x v="0"/>
    <x v="63"/>
    <x v="63"/>
    <x v="2"/>
    <x v="2"/>
    <x v="2"/>
    <x v="18"/>
    <x v="325"/>
    <x v="239"/>
    <x v="70"/>
    <x v="646"/>
    <x v="229"/>
    <x v="294"/>
    <x v="3"/>
  </r>
  <r>
    <x v="0"/>
    <x v="63"/>
    <x v="63"/>
    <x v="34"/>
    <x v="34"/>
    <x v="34"/>
    <x v="19"/>
    <x v="326"/>
    <x v="318"/>
    <x v="70"/>
    <x v="646"/>
    <x v="229"/>
    <x v="294"/>
    <x v="3"/>
  </r>
  <r>
    <x v="0"/>
    <x v="63"/>
    <x v="63"/>
    <x v="32"/>
    <x v="32"/>
    <x v="32"/>
    <x v="19"/>
    <x v="326"/>
    <x v="318"/>
    <x v="70"/>
    <x v="646"/>
    <x v="229"/>
    <x v="294"/>
    <x v="3"/>
  </r>
  <r>
    <x v="0"/>
    <x v="63"/>
    <x v="63"/>
    <x v="33"/>
    <x v="33"/>
    <x v="33"/>
    <x v="19"/>
    <x v="326"/>
    <x v="318"/>
    <x v="70"/>
    <x v="646"/>
    <x v="229"/>
    <x v="294"/>
    <x v="3"/>
  </r>
  <r>
    <x v="0"/>
    <x v="63"/>
    <x v="63"/>
    <x v="14"/>
    <x v="14"/>
    <x v="14"/>
    <x v="19"/>
    <x v="326"/>
    <x v="318"/>
    <x v="70"/>
    <x v="646"/>
    <x v="229"/>
    <x v="294"/>
    <x v="3"/>
  </r>
  <r>
    <x v="0"/>
    <x v="63"/>
    <x v="63"/>
    <x v="16"/>
    <x v="16"/>
    <x v="16"/>
    <x v="19"/>
    <x v="326"/>
    <x v="318"/>
    <x v="70"/>
    <x v="646"/>
    <x v="229"/>
    <x v="294"/>
    <x v="3"/>
  </r>
  <r>
    <x v="0"/>
    <x v="63"/>
    <x v="63"/>
    <x v="28"/>
    <x v="28"/>
    <x v="28"/>
    <x v="19"/>
    <x v="326"/>
    <x v="318"/>
    <x v="56"/>
    <x v="55"/>
    <x v="228"/>
    <x v="105"/>
    <x v="3"/>
  </r>
  <r>
    <x v="0"/>
    <x v="63"/>
    <x v="63"/>
    <x v="15"/>
    <x v="15"/>
    <x v="15"/>
    <x v="19"/>
    <x v="326"/>
    <x v="318"/>
    <x v="70"/>
    <x v="646"/>
    <x v="229"/>
    <x v="294"/>
    <x v="3"/>
  </r>
  <r>
    <x v="0"/>
    <x v="63"/>
    <x v="63"/>
    <x v="7"/>
    <x v="7"/>
    <x v="7"/>
    <x v="19"/>
    <x v="326"/>
    <x v="318"/>
    <x v="56"/>
    <x v="55"/>
    <x v="228"/>
    <x v="105"/>
    <x v="3"/>
  </r>
  <r>
    <x v="0"/>
    <x v="63"/>
    <x v="63"/>
    <x v="29"/>
    <x v="29"/>
    <x v="29"/>
    <x v="19"/>
    <x v="326"/>
    <x v="318"/>
    <x v="82"/>
    <x v="183"/>
    <x v="235"/>
    <x v="439"/>
    <x v="3"/>
  </r>
  <r>
    <x v="0"/>
    <x v="64"/>
    <x v="64"/>
    <x v="4"/>
    <x v="4"/>
    <x v="4"/>
    <x v="0"/>
    <x v="71"/>
    <x v="608"/>
    <x v="79"/>
    <x v="80"/>
    <x v="55"/>
    <x v="565"/>
    <x v="3"/>
  </r>
  <r>
    <x v="0"/>
    <x v="64"/>
    <x v="64"/>
    <x v="3"/>
    <x v="3"/>
    <x v="3"/>
    <x v="1"/>
    <x v="56"/>
    <x v="609"/>
    <x v="61"/>
    <x v="647"/>
    <x v="225"/>
    <x v="566"/>
    <x v="3"/>
  </r>
  <r>
    <x v="0"/>
    <x v="64"/>
    <x v="64"/>
    <x v="0"/>
    <x v="0"/>
    <x v="0"/>
    <x v="2"/>
    <x v="83"/>
    <x v="610"/>
    <x v="68"/>
    <x v="648"/>
    <x v="222"/>
    <x v="567"/>
    <x v="3"/>
  </r>
  <r>
    <x v="0"/>
    <x v="64"/>
    <x v="64"/>
    <x v="5"/>
    <x v="5"/>
    <x v="5"/>
    <x v="3"/>
    <x v="72"/>
    <x v="75"/>
    <x v="182"/>
    <x v="649"/>
    <x v="229"/>
    <x v="568"/>
    <x v="3"/>
  </r>
  <r>
    <x v="0"/>
    <x v="64"/>
    <x v="64"/>
    <x v="1"/>
    <x v="1"/>
    <x v="1"/>
    <x v="4"/>
    <x v="85"/>
    <x v="611"/>
    <x v="64"/>
    <x v="650"/>
    <x v="235"/>
    <x v="439"/>
    <x v="3"/>
  </r>
  <r>
    <x v="0"/>
    <x v="64"/>
    <x v="64"/>
    <x v="18"/>
    <x v="18"/>
    <x v="18"/>
    <x v="5"/>
    <x v="296"/>
    <x v="44"/>
    <x v="56"/>
    <x v="55"/>
    <x v="72"/>
    <x v="569"/>
    <x v="6"/>
  </r>
  <r>
    <x v="0"/>
    <x v="64"/>
    <x v="64"/>
    <x v="12"/>
    <x v="12"/>
    <x v="12"/>
    <x v="6"/>
    <x v="321"/>
    <x v="370"/>
    <x v="71"/>
    <x v="325"/>
    <x v="235"/>
    <x v="439"/>
    <x v="3"/>
  </r>
  <r>
    <x v="0"/>
    <x v="64"/>
    <x v="64"/>
    <x v="11"/>
    <x v="11"/>
    <x v="11"/>
    <x v="6"/>
    <x v="321"/>
    <x v="370"/>
    <x v="37"/>
    <x v="651"/>
    <x v="229"/>
    <x v="568"/>
    <x v="3"/>
  </r>
  <r>
    <x v="0"/>
    <x v="64"/>
    <x v="64"/>
    <x v="8"/>
    <x v="8"/>
    <x v="8"/>
    <x v="8"/>
    <x v="311"/>
    <x v="30"/>
    <x v="82"/>
    <x v="652"/>
    <x v="230"/>
    <x v="570"/>
    <x v="3"/>
  </r>
  <r>
    <x v="0"/>
    <x v="64"/>
    <x v="64"/>
    <x v="2"/>
    <x v="2"/>
    <x v="2"/>
    <x v="8"/>
    <x v="311"/>
    <x v="30"/>
    <x v="79"/>
    <x v="80"/>
    <x v="228"/>
    <x v="415"/>
    <x v="3"/>
  </r>
  <r>
    <x v="0"/>
    <x v="64"/>
    <x v="64"/>
    <x v="9"/>
    <x v="9"/>
    <x v="9"/>
    <x v="8"/>
    <x v="311"/>
    <x v="30"/>
    <x v="37"/>
    <x v="651"/>
    <x v="235"/>
    <x v="439"/>
    <x v="3"/>
  </r>
  <r>
    <x v="0"/>
    <x v="64"/>
    <x v="64"/>
    <x v="19"/>
    <x v="19"/>
    <x v="19"/>
    <x v="8"/>
    <x v="311"/>
    <x v="30"/>
    <x v="37"/>
    <x v="651"/>
    <x v="235"/>
    <x v="439"/>
    <x v="3"/>
  </r>
  <r>
    <x v="0"/>
    <x v="64"/>
    <x v="64"/>
    <x v="13"/>
    <x v="13"/>
    <x v="13"/>
    <x v="12"/>
    <x v="323"/>
    <x v="403"/>
    <x v="79"/>
    <x v="80"/>
    <x v="228"/>
    <x v="415"/>
    <x v="3"/>
  </r>
  <r>
    <x v="0"/>
    <x v="64"/>
    <x v="64"/>
    <x v="6"/>
    <x v="6"/>
    <x v="6"/>
    <x v="13"/>
    <x v="324"/>
    <x v="486"/>
    <x v="79"/>
    <x v="80"/>
    <x v="229"/>
    <x v="568"/>
    <x v="3"/>
  </r>
  <r>
    <x v="0"/>
    <x v="64"/>
    <x v="64"/>
    <x v="34"/>
    <x v="34"/>
    <x v="34"/>
    <x v="13"/>
    <x v="324"/>
    <x v="486"/>
    <x v="53"/>
    <x v="298"/>
    <x v="235"/>
    <x v="439"/>
    <x v="3"/>
  </r>
  <r>
    <x v="0"/>
    <x v="64"/>
    <x v="64"/>
    <x v="25"/>
    <x v="25"/>
    <x v="25"/>
    <x v="13"/>
    <x v="324"/>
    <x v="486"/>
    <x v="53"/>
    <x v="298"/>
    <x v="235"/>
    <x v="439"/>
    <x v="3"/>
  </r>
  <r>
    <x v="0"/>
    <x v="64"/>
    <x v="64"/>
    <x v="26"/>
    <x v="26"/>
    <x v="26"/>
    <x v="16"/>
    <x v="325"/>
    <x v="72"/>
    <x v="79"/>
    <x v="80"/>
    <x v="235"/>
    <x v="439"/>
    <x v="3"/>
  </r>
  <r>
    <x v="0"/>
    <x v="64"/>
    <x v="64"/>
    <x v="21"/>
    <x v="21"/>
    <x v="21"/>
    <x v="16"/>
    <x v="325"/>
    <x v="72"/>
    <x v="56"/>
    <x v="55"/>
    <x v="222"/>
    <x v="567"/>
    <x v="3"/>
  </r>
  <r>
    <x v="0"/>
    <x v="64"/>
    <x v="64"/>
    <x v="37"/>
    <x v="37"/>
    <x v="37"/>
    <x v="18"/>
    <x v="326"/>
    <x v="612"/>
    <x v="56"/>
    <x v="55"/>
    <x v="228"/>
    <x v="415"/>
    <x v="3"/>
  </r>
  <r>
    <x v="0"/>
    <x v="64"/>
    <x v="64"/>
    <x v="38"/>
    <x v="38"/>
    <x v="38"/>
    <x v="18"/>
    <x v="326"/>
    <x v="612"/>
    <x v="82"/>
    <x v="652"/>
    <x v="235"/>
    <x v="439"/>
    <x v="3"/>
  </r>
  <r>
    <x v="0"/>
    <x v="64"/>
    <x v="64"/>
    <x v="23"/>
    <x v="23"/>
    <x v="23"/>
    <x v="18"/>
    <x v="326"/>
    <x v="612"/>
    <x v="70"/>
    <x v="199"/>
    <x v="229"/>
    <x v="568"/>
    <x v="3"/>
  </r>
  <r>
    <x v="0"/>
    <x v="64"/>
    <x v="64"/>
    <x v="33"/>
    <x v="33"/>
    <x v="33"/>
    <x v="18"/>
    <x v="326"/>
    <x v="612"/>
    <x v="70"/>
    <x v="199"/>
    <x v="229"/>
    <x v="568"/>
    <x v="3"/>
  </r>
  <r>
    <x v="0"/>
    <x v="64"/>
    <x v="64"/>
    <x v="17"/>
    <x v="17"/>
    <x v="17"/>
    <x v="18"/>
    <x v="326"/>
    <x v="612"/>
    <x v="56"/>
    <x v="55"/>
    <x v="228"/>
    <x v="415"/>
    <x v="3"/>
  </r>
  <r>
    <x v="0"/>
    <x v="64"/>
    <x v="64"/>
    <x v="14"/>
    <x v="14"/>
    <x v="14"/>
    <x v="18"/>
    <x v="326"/>
    <x v="612"/>
    <x v="82"/>
    <x v="652"/>
    <x v="235"/>
    <x v="439"/>
    <x v="3"/>
  </r>
  <r>
    <x v="0"/>
    <x v="64"/>
    <x v="64"/>
    <x v="20"/>
    <x v="20"/>
    <x v="20"/>
    <x v="18"/>
    <x v="326"/>
    <x v="612"/>
    <x v="70"/>
    <x v="199"/>
    <x v="229"/>
    <x v="568"/>
    <x v="3"/>
  </r>
  <r>
    <x v="0"/>
    <x v="64"/>
    <x v="64"/>
    <x v="29"/>
    <x v="29"/>
    <x v="29"/>
    <x v="18"/>
    <x v="326"/>
    <x v="612"/>
    <x v="82"/>
    <x v="652"/>
    <x v="235"/>
    <x v="439"/>
    <x v="3"/>
  </r>
  <r>
    <x v="0"/>
    <x v="65"/>
    <x v="65"/>
    <x v="1"/>
    <x v="1"/>
    <x v="1"/>
    <x v="0"/>
    <x v="304"/>
    <x v="613"/>
    <x v="91"/>
    <x v="653"/>
    <x v="228"/>
    <x v="162"/>
    <x v="3"/>
  </r>
  <r>
    <x v="0"/>
    <x v="65"/>
    <x v="65"/>
    <x v="4"/>
    <x v="4"/>
    <x v="4"/>
    <x v="1"/>
    <x v="295"/>
    <x v="614"/>
    <x v="56"/>
    <x v="55"/>
    <x v="48"/>
    <x v="571"/>
    <x v="3"/>
  </r>
  <r>
    <x v="0"/>
    <x v="65"/>
    <x v="65"/>
    <x v="5"/>
    <x v="5"/>
    <x v="5"/>
    <x v="2"/>
    <x v="320"/>
    <x v="426"/>
    <x v="46"/>
    <x v="654"/>
    <x v="229"/>
    <x v="133"/>
    <x v="3"/>
  </r>
  <r>
    <x v="0"/>
    <x v="65"/>
    <x v="65"/>
    <x v="3"/>
    <x v="3"/>
    <x v="3"/>
    <x v="2"/>
    <x v="320"/>
    <x v="426"/>
    <x v="79"/>
    <x v="350"/>
    <x v="65"/>
    <x v="572"/>
    <x v="3"/>
  </r>
  <r>
    <x v="0"/>
    <x v="65"/>
    <x v="65"/>
    <x v="0"/>
    <x v="0"/>
    <x v="0"/>
    <x v="4"/>
    <x v="321"/>
    <x v="582"/>
    <x v="72"/>
    <x v="655"/>
    <x v="228"/>
    <x v="162"/>
    <x v="3"/>
  </r>
  <r>
    <x v="0"/>
    <x v="65"/>
    <x v="65"/>
    <x v="11"/>
    <x v="11"/>
    <x v="11"/>
    <x v="5"/>
    <x v="311"/>
    <x v="232"/>
    <x v="72"/>
    <x v="655"/>
    <x v="229"/>
    <x v="133"/>
    <x v="3"/>
  </r>
  <r>
    <x v="0"/>
    <x v="65"/>
    <x v="65"/>
    <x v="23"/>
    <x v="23"/>
    <x v="23"/>
    <x v="6"/>
    <x v="323"/>
    <x v="448"/>
    <x v="56"/>
    <x v="55"/>
    <x v="225"/>
    <x v="506"/>
    <x v="3"/>
  </r>
  <r>
    <x v="0"/>
    <x v="65"/>
    <x v="65"/>
    <x v="8"/>
    <x v="8"/>
    <x v="8"/>
    <x v="7"/>
    <x v="324"/>
    <x v="343"/>
    <x v="79"/>
    <x v="350"/>
    <x v="229"/>
    <x v="133"/>
    <x v="3"/>
  </r>
  <r>
    <x v="0"/>
    <x v="65"/>
    <x v="65"/>
    <x v="6"/>
    <x v="6"/>
    <x v="6"/>
    <x v="8"/>
    <x v="325"/>
    <x v="29"/>
    <x v="56"/>
    <x v="55"/>
    <x v="222"/>
    <x v="573"/>
    <x v="3"/>
  </r>
  <r>
    <x v="0"/>
    <x v="65"/>
    <x v="65"/>
    <x v="12"/>
    <x v="12"/>
    <x v="12"/>
    <x v="8"/>
    <x v="325"/>
    <x v="29"/>
    <x v="79"/>
    <x v="350"/>
    <x v="235"/>
    <x v="439"/>
    <x v="3"/>
  </r>
  <r>
    <x v="0"/>
    <x v="65"/>
    <x v="65"/>
    <x v="10"/>
    <x v="10"/>
    <x v="10"/>
    <x v="8"/>
    <x v="325"/>
    <x v="29"/>
    <x v="82"/>
    <x v="552"/>
    <x v="235"/>
    <x v="439"/>
    <x v="3"/>
  </r>
  <r>
    <x v="0"/>
    <x v="65"/>
    <x v="65"/>
    <x v="9"/>
    <x v="9"/>
    <x v="9"/>
    <x v="8"/>
    <x v="325"/>
    <x v="29"/>
    <x v="79"/>
    <x v="350"/>
    <x v="235"/>
    <x v="439"/>
    <x v="3"/>
  </r>
  <r>
    <x v="0"/>
    <x v="65"/>
    <x v="65"/>
    <x v="18"/>
    <x v="18"/>
    <x v="18"/>
    <x v="8"/>
    <x v="325"/>
    <x v="29"/>
    <x v="56"/>
    <x v="55"/>
    <x v="229"/>
    <x v="133"/>
    <x v="3"/>
  </r>
  <r>
    <x v="0"/>
    <x v="65"/>
    <x v="65"/>
    <x v="25"/>
    <x v="25"/>
    <x v="25"/>
    <x v="8"/>
    <x v="325"/>
    <x v="29"/>
    <x v="79"/>
    <x v="350"/>
    <x v="235"/>
    <x v="439"/>
    <x v="3"/>
  </r>
  <r>
    <x v="0"/>
    <x v="65"/>
    <x v="65"/>
    <x v="16"/>
    <x v="16"/>
    <x v="16"/>
    <x v="14"/>
    <x v="326"/>
    <x v="223"/>
    <x v="70"/>
    <x v="551"/>
    <x v="229"/>
    <x v="133"/>
    <x v="3"/>
  </r>
  <r>
    <x v="0"/>
    <x v="65"/>
    <x v="65"/>
    <x v="37"/>
    <x v="37"/>
    <x v="37"/>
    <x v="15"/>
    <x v="327"/>
    <x v="615"/>
    <x v="56"/>
    <x v="55"/>
    <x v="229"/>
    <x v="133"/>
    <x v="3"/>
  </r>
  <r>
    <x v="0"/>
    <x v="65"/>
    <x v="65"/>
    <x v="32"/>
    <x v="32"/>
    <x v="32"/>
    <x v="15"/>
    <x v="327"/>
    <x v="615"/>
    <x v="56"/>
    <x v="55"/>
    <x v="229"/>
    <x v="133"/>
    <x v="3"/>
  </r>
  <r>
    <x v="0"/>
    <x v="65"/>
    <x v="65"/>
    <x v="44"/>
    <x v="44"/>
    <x v="44"/>
    <x v="15"/>
    <x v="327"/>
    <x v="615"/>
    <x v="56"/>
    <x v="55"/>
    <x v="229"/>
    <x v="133"/>
    <x v="3"/>
  </r>
  <r>
    <x v="0"/>
    <x v="65"/>
    <x v="65"/>
    <x v="38"/>
    <x v="38"/>
    <x v="38"/>
    <x v="15"/>
    <x v="327"/>
    <x v="615"/>
    <x v="70"/>
    <x v="551"/>
    <x v="235"/>
    <x v="439"/>
    <x v="3"/>
  </r>
  <r>
    <x v="0"/>
    <x v="65"/>
    <x v="65"/>
    <x v="30"/>
    <x v="30"/>
    <x v="30"/>
    <x v="15"/>
    <x v="327"/>
    <x v="615"/>
    <x v="56"/>
    <x v="55"/>
    <x v="229"/>
    <x v="133"/>
    <x v="3"/>
  </r>
  <r>
    <x v="0"/>
    <x v="65"/>
    <x v="65"/>
    <x v="50"/>
    <x v="50"/>
    <x v="50"/>
    <x v="15"/>
    <x v="327"/>
    <x v="615"/>
    <x v="56"/>
    <x v="55"/>
    <x v="235"/>
    <x v="439"/>
    <x v="3"/>
  </r>
  <r>
    <x v="0"/>
    <x v="65"/>
    <x v="65"/>
    <x v="27"/>
    <x v="27"/>
    <x v="27"/>
    <x v="15"/>
    <x v="327"/>
    <x v="615"/>
    <x v="56"/>
    <x v="55"/>
    <x v="229"/>
    <x v="133"/>
    <x v="3"/>
  </r>
  <r>
    <x v="0"/>
    <x v="65"/>
    <x v="65"/>
    <x v="14"/>
    <x v="14"/>
    <x v="14"/>
    <x v="15"/>
    <x v="327"/>
    <x v="615"/>
    <x v="56"/>
    <x v="55"/>
    <x v="229"/>
    <x v="133"/>
    <x v="3"/>
  </r>
  <r>
    <x v="0"/>
    <x v="65"/>
    <x v="65"/>
    <x v="15"/>
    <x v="15"/>
    <x v="15"/>
    <x v="15"/>
    <x v="327"/>
    <x v="615"/>
    <x v="56"/>
    <x v="55"/>
    <x v="229"/>
    <x v="133"/>
    <x v="3"/>
  </r>
  <r>
    <x v="0"/>
    <x v="65"/>
    <x v="65"/>
    <x v="2"/>
    <x v="2"/>
    <x v="2"/>
    <x v="15"/>
    <x v="327"/>
    <x v="615"/>
    <x v="70"/>
    <x v="551"/>
    <x v="235"/>
    <x v="439"/>
    <x v="3"/>
  </r>
  <r>
    <x v="0"/>
    <x v="65"/>
    <x v="65"/>
    <x v="21"/>
    <x v="21"/>
    <x v="21"/>
    <x v="15"/>
    <x v="327"/>
    <x v="615"/>
    <x v="70"/>
    <x v="551"/>
    <x v="235"/>
    <x v="439"/>
    <x v="3"/>
  </r>
  <r>
    <x v="0"/>
    <x v="65"/>
    <x v="65"/>
    <x v="20"/>
    <x v="20"/>
    <x v="20"/>
    <x v="15"/>
    <x v="327"/>
    <x v="615"/>
    <x v="56"/>
    <x v="55"/>
    <x v="229"/>
    <x v="133"/>
    <x v="3"/>
  </r>
  <r>
    <x v="0"/>
    <x v="66"/>
    <x v="66"/>
    <x v="4"/>
    <x v="4"/>
    <x v="4"/>
    <x v="0"/>
    <x v="79"/>
    <x v="616"/>
    <x v="71"/>
    <x v="410"/>
    <x v="198"/>
    <x v="574"/>
    <x v="3"/>
  </r>
  <r>
    <x v="0"/>
    <x v="66"/>
    <x v="66"/>
    <x v="1"/>
    <x v="1"/>
    <x v="1"/>
    <x v="0"/>
    <x v="79"/>
    <x v="616"/>
    <x v="135"/>
    <x v="656"/>
    <x v="225"/>
    <x v="78"/>
    <x v="3"/>
  </r>
  <r>
    <x v="0"/>
    <x v="66"/>
    <x v="66"/>
    <x v="5"/>
    <x v="5"/>
    <x v="5"/>
    <x v="2"/>
    <x v="52"/>
    <x v="617"/>
    <x v="66"/>
    <x v="657"/>
    <x v="222"/>
    <x v="200"/>
    <x v="3"/>
  </r>
  <r>
    <x v="0"/>
    <x v="66"/>
    <x v="66"/>
    <x v="0"/>
    <x v="0"/>
    <x v="0"/>
    <x v="3"/>
    <x v="55"/>
    <x v="618"/>
    <x v="52"/>
    <x v="658"/>
    <x v="230"/>
    <x v="124"/>
    <x v="3"/>
  </r>
  <r>
    <x v="0"/>
    <x v="66"/>
    <x v="66"/>
    <x v="3"/>
    <x v="3"/>
    <x v="3"/>
    <x v="4"/>
    <x v="125"/>
    <x v="619"/>
    <x v="69"/>
    <x v="659"/>
    <x v="210"/>
    <x v="575"/>
    <x v="3"/>
  </r>
  <r>
    <x v="0"/>
    <x v="66"/>
    <x v="66"/>
    <x v="8"/>
    <x v="8"/>
    <x v="8"/>
    <x v="5"/>
    <x v="303"/>
    <x v="173"/>
    <x v="37"/>
    <x v="660"/>
    <x v="47"/>
    <x v="576"/>
    <x v="3"/>
  </r>
  <r>
    <x v="0"/>
    <x v="66"/>
    <x v="66"/>
    <x v="11"/>
    <x v="11"/>
    <x v="11"/>
    <x v="6"/>
    <x v="304"/>
    <x v="620"/>
    <x v="55"/>
    <x v="661"/>
    <x v="225"/>
    <x v="78"/>
    <x v="3"/>
  </r>
  <r>
    <x v="0"/>
    <x v="66"/>
    <x v="66"/>
    <x v="2"/>
    <x v="2"/>
    <x v="2"/>
    <x v="7"/>
    <x v="308"/>
    <x v="621"/>
    <x v="71"/>
    <x v="410"/>
    <x v="225"/>
    <x v="78"/>
    <x v="3"/>
  </r>
  <r>
    <x v="0"/>
    <x v="66"/>
    <x v="66"/>
    <x v="6"/>
    <x v="6"/>
    <x v="6"/>
    <x v="8"/>
    <x v="309"/>
    <x v="359"/>
    <x v="37"/>
    <x v="660"/>
    <x v="225"/>
    <x v="78"/>
    <x v="3"/>
  </r>
  <r>
    <x v="0"/>
    <x v="66"/>
    <x v="66"/>
    <x v="25"/>
    <x v="25"/>
    <x v="25"/>
    <x v="9"/>
    <x v="322"/>
    <x v="334"/>
    <x v="55"/>
    <x v="661"/>
    <x v="235"/>
    <x v="439"/>
    <x v="3"/>
  </r>
  <r>
    <x v="0"/>
    <x v="66"/>
    <x v="66"/>
    <x v="20"/>
    <x v="20"/>
    <x v="20"/>
    <x v="10"/>
    <x v="320"/>
    <x v="315"/>
    <x v="71"/>
    <x v="410"/>
    <x v="228"/>
    <x v="111"/>
    <x v="3"/>
  </r>
  <r>
    <x v="0"/>
    <x v="66"/>
    <x v="66"/>
    <x v="9"/>
    <x v="9"/>
    <x v="9"/>
    <x v="10"/>
    <x v="320"/>
    <x v="315"/>
    <x v="37"/>
    <x v="660"/>
    <x v="222"/>
    <x v="200"/>
    <x v="3"/>
  </r>
  <r>
    <x v="0"/>
    <x v="66"/>
    <x v="66"/>
    <x v="10"/>
    <x v="10"/>
    <x v="10"/>
    <x v="12"/>
    <x v="321"/>
    <x v="13"/>
    <x v="37"/>
    <x v="660"/>
    <x v="229"/>
    <x v="510"/>
    <x v="3"/>
  </r>
  <r>
    <x v="0"/>
    <x v="66"/>
    <x v="66"/>
    <x v="12"/>
    <x v="12"/>
    <x v="12"/>
    <x v="13"/>
    <x v="323"/>
    <x v="120"/>
    <x v="72"/>
    <x v="662"/>
    <x v="235"/>
    <x v="439"/>
    <x v="3"/>
  </r>
  <r>
    <x v="0"/>
    <x v="66"/>
    <x v="66"/>
    <x v="21"/>
    <x v="21"/>
    <x v="21"/>
    <x v="14"/>
    <x v="324"/>
    <x v="622"/>
    <x v="70"/>
    <x v="39"/>
    <x v="228"/>
    <x v="111"/>
    <x v="3"/>
  </r>
  <r>
    <x v="0"/>
    <x v="66"/>
    <x v="66"/>
    <x v="18"/>
    <x v="18"/>
    <x v="18"/>
    <x v="14"/>
    <x v="324"/>
    <x v="622"/>
    <x v="70"/>
    <x v="39"/>
    <x v="222"/>
    <x v="200"/>
    <x v="3"/>
  </r>
  <r>
    <x v="0"/>
    <x v="66"/>
    <x v="66"/>
    <x v="32"/>
    <x v="32"/>
    <x v="32"/>
    <x v="16"/>
    <x v="325"/>
    <x v="577"/>
    <x v="82"/>
    <x v="287"/>
    <x v="229"/>
    <x v="510"/>
    <x v="3"/>
  </r>
  <r>
    <x v="0"/>
    <x v="66"/>
    <x v="66"/>
    <x v="23"/>
    <x v="23"/>
    <x v="23"/>
    <x v="16"/>
    <x v="325"/>
    <x v="577"/>
    <x v="70"/>
    <x v="39"/>
    <x v="228"/>
    <x v="111"/>
    <x v="3"/>
  </r>
  <r>
    <x v="0"/>
    <x v="66"/>
    <x v="66"/>
    <x v="48"/>
    <x v="48"/>
    <x v="48"/>
    <x v="16"/>
    <x v="325"/>
    <x v="577"/>
    <x v="56"/>
    <x v="55"/>
    <x v="222"/>
    <x v="200"/>
    <x v="3"/>
  </r>
  <r>
    <x v="0"/>
    <x v="66"/>
    <x v="66"/>
    <x v="14"/>
    <x v="14"/>
    <x v="14"/>
    <x v="16"/>
    <x v="325"/>
    <x v="577"/>
    <x v="56"/>
    <x v="55"/>
    <x v="222"/>
    <x v="200"/>
    <x v="3"/>
  </r>
  <r>
    <x v="0"/>
    <x v="66"/>
    <x v="66"/>
    <x v="13"/>
    <x v="13"/>
    <x v="13"/>
    <x v="16"/>
    <x v="325"/>
    <x v="577"/>
    <x v="70"/>
    <x v="39"/>
    <x v="228"/>
    <x v="111"/>
    <x v="3"/>
  </r>
  <r>
    <x v="0"/>
    <x v="67"/>
    <x v="67"/>
    <x v="4"/>
    <x v="4"/>
    <x v="4"/>
    <x v="0"/>
    <x v="81"/>
    <x v="623"/>
    <x v="69"/>
    <x v="663"/>
    <x v="109"/>
    <x v="577"/>
    <x v="3"/>
  </r>
  <r>
    <x v="0"/>
    <x v="67"/>
    <x v="67"/>
    <x v="1"/>
    <x v="1"/>
    <x v="1"/>
    <x v="1"/>
    <x v="294"/>
    <x v="624"/>
    <x v="91"/>
    <x v="664"/>
    <x v="222"/>
    <x v="578"/>
    <x v="3"/>
  </r>
  <r>
    <x v="0"/>
    <x v="67"/>
    <x v="67"/>
    <x v="3"/>
    <x v="3"/>
    <x v="3"/>
    <x v="2"/>
    <x v="296"/>
    <x v="625"/>
    <x v="84"/>
    <x v="665"/>
    <x v="230"/>
    <x v="128"/>
    <x v="3"/>
  </r>
  <r>
    <x v="0"/>
    <x v="67"/>
    <x v="67"/>
    <x v="5"/>
    <x v="5"/>
    <x v="5"/>
    <x v="3"/>
    <x v="323"/>
    <x v="514"/>
    <x v="72"/>
    <x v="666"/>
    <x v="235"/>
    <x v="439"/>
    <x v="3"/>
  </r>
  <r>
    <x v="0"/>
    <x v="67"/>
    <x v="67"/>
    <x v="0"/>
    <x v="0"/>
    <x v="0"/>
    <x v="3"/>
    <x v="323"/>
    <x v="514"/>
    <x v="53"/>
    <x v="667"/>
    <x v="229"/>
    <x v="73"/>
    <x v="3"/>
  </r>
  <r>
    <x v="0"/>
    <x v="67"/>
    <x v="67"/>
    <x v="6"/>
    <x v="6"/>
    <x v="6"/>
    <x v="5"/>
    <x v="324"/>
    <x v="145"/>
    <x v="70"/>
    <x v="171"/>
    <x v="222"/>
    <x v="578"/>
    <x v="3"/>
  </r>
  <r>
    <x v="0"/>
    <x v="67"/>
    <x v="67"/>
    <x v="11"/>
    <x v="11"/>
    <x v="11"/>
    <x v="5"/>
    <x v="324"/>
    <x v="145"/>
    <x v="82"/>
    <x v="30"/>
    <x v="228"/>
    <x v="579"/>
    <x v="3"/>
  </r>
  <r>
    <x v="0"/>
    <x v="67"/>
    <x v="67"/>
    <x v="25"/>
    <x v="25"/>
    <x v="25"/>
    <x v="5"/>
    <x v="324"/>
    <x v="145"/>
    <x v="53"/>
    <x v="667"/>
    <x v="235"/>
    <x v="439"/>
    <x v="3"/>
  </r>
  <r>
    <x v="0"/>
    <x v="67"/>
    <x v="67"/>
    <x v="8"/>
    <x v="8"/>
    <x v="8"/>
    <x v="8"/>
    <x v="325"/>
    <x v="516"/>
    <x v="70"/>
    <x v="171"/>
    <x v="228"/>
    <x v="579"/>
    <x v="3"/>
  </r>
  <r>
    <x v="0"/>
    <x v="67"/>
    <x v="67"/>
    <x v="18"/>
    <x v="18"/>
    <x v="18"/>
    <x v="8"/>
    <x v="325"/>
    <x v="516"/>
    <x v="56"/>
    <x v="55"/>
    <x v="228"/>
    <x v="579"/>
    <x v="3"/>
  </r>
  <r>
    <x v="0"/>
    <x v="67"/>
    <x v="67"/>
    <x v="50"/>
    <x v="50"/>
    <x v="50"/>
    <x v="10"/>
    <x v="326"/>
    <x v="283"/>
    <x v="56"/>
    <x v="55"/>
    <x v="235"/>
    <x v="439"/>
    <x v="3"/>
  </r>
  <r>
    <x v="0"/>
    <x v="67"/>
    <x v="67"/>
    <x v="52"/>
    <x v="52"/>
    <x v="52"/>
    <x v="11"/>
    <x v="327"/>
    <x v="372"/>
    <x v="56"/>
    <x v="55"/>
    <x v="229"/>
    <x v="73"/>
    <x v="3"/>
  </r>
  <r>
    <x v="0"/>
    <x v="67"/>
    <x v="67"/>
    <x v="23"/>
    <x v="23"/>
    <x v="23"/>
    <x v="11"/>
    <x v="327"/>
    <x v="372"/>
    <x v="56"/>
    <x v="55"/>
    <x v="229"/>
    <x v="73"/>
    <x v="3"/>
  </r>
  <r>
    <x v="0"/>
    <x v="67"/>
    <x v="67"/>
    <x v="33"/>
    <x v="33"/>
    <x v="33"/>
    <x v="11"/>
    <x v="327"/>
    <x v="372"/>
    <x v="70"/>
    <x v="171"/>
    <x v="235"/>
    <x v="439"/>
    <x v="3"/>
  </r>
  <r>
    <x v="0"/>
    <x v="67"/>
    <x v="67"/>
    <x v="28"/>
    <x v="28"/>
    <x v="28"/>
    <x v="11"/>
    <x v="327"/>
    <x v="372"/>
    <x v="56"/>
    <x v="55"/>
    <x v="229"/>
    <x v="73"/>
    <x v="3"/>
  </r>
  <r>
    <x v="0"/>
    <x v="67"/>
    <x v="67"/>
    <x v="15"/>
    <x v="15"/>
    <x v="15"/>
    <x v="11"/>
    <x v="327"/>
    <x v="372"/>
    <x v="56"/>
    <x v="55"/>
    <x v="229"/>
    <x v="73"/>
    <x v="3"/>
  </r>
  <r>
    <x v="0"/>
    <x v="67"/>
    <x v="67"/>
    <x v="42"/>
    <x v="42"/>
    <x v="42"/>
    <x v="11"/>
    <x v="327"/>
    <x v="372"/>
    <x v="56"/>
    <x v="55"/>
    <x v="229"/>
    <x v="73"/>
    <x v="3"/>
  </r>
  <r>
    <x v="0"/>
    <x v="67"/>
    <x v="67"/>
    <x v="7"/>
    <x v="7"/>
    <x v="7"/>
    <x v="11"/>
    <x v="327"/>
    <x v="372"/>
    <x v="56"/>
    <x v="55"/>
    <x v="229"/>
    <x v="73"/>
    <x v="3"/>
  </r>
  <r>
    <x v="0"/>
    <x v="67"/>
    <x v="67"/>
    <x v="21"/>
    <x v="21"/>
    <x v="21"/>
    <x v="11"/>
    <x v="327"/>
    <x v="372"/>
    <x v="70"/>
    <x v="171"/>
    <x v="235"/>
    <x v="439"/>
    <x v="3"/>
  </r>
  <r>
    <x v="0"/>
    <x v="67"/>
    <x v="67"/>
    <x v="10"/>
    <x v="10"/>
    <x v="10"/>
    <x v="11"/>
    <x v="327"/>
    <x v="372"/>
    <x v="56"/>
    <x v="55"/>
    <x v="235"/>
    <x v="439"/>
    <x v="3"/>
  </r>
  <r>
    <x v="0"/>
    <x v="67"/>
    <x v="67"/>
    <x v="9"/>
    <x v="9"/>
    <x v="9"/>
    <x v="11"/>
    <x v="327"/>
    <x v="372"/>
    <x v="70"/>
    <x v="171"/>
    <x v="235"/>
    <x v="439"/>
    <x v="3"/>
  </r>
  <r>
    <x v="0"/>
    <x v="68"/>
    <x v="68"/>
    <x v="4"/>
    <x v="4"/>
    <x v="4"/>
    <x v="0"/>
    <x v="294"/>
    <x v="626"/>
    <x v="55"/>
    <x v="668"/>
    <x v="65"/>
    <x v="580"/>
    <x v="3"/>
  </r>
  <r>
    <x v="0"/>
    <x v="68"/>
    <x v="68"/>
    <x v="5"/>
    <x v="5"/>
    <x v="5"/>
    <x v="1"/>
    <x v="309"/>
    <x v="627"/>
    <x v="55"/>
    <x v="668"/>
    <x v="229"/>
    <x v="179"/>
    <x v="3"/>
  </r>
  <r>
    <x v="0"/>
    <x v="68"/>
    <x v="68"/>
    <x v="0"/>
    <x v="0"/>
    <x v="0"/>
    <x v="2"/>
    <x v="321"/>
    <x v="628"/>
    <x v="37"/>
    <x v="669"/>
    <x v="229"/>
    <x v="179"/>
    <x v="3"/>
  </r>
  <r>
    <x v="0"/>
    <x v="68"/>
    <x v="68"/>
    <x v="18"/>
    <x v="18"/>
    <x v="18"/>
    <x v="3"/>
    <x v="311"/>
    <x v="629"/>
    <x v="56"/>
    <x v="55"/>
    <x v="225"/>
    <x v="581"/>
    <x v="3"/>
  </r>
  <r>
    <x v="0"/>
    <x v="68"/>
    <x v="68"/>
    <x v="8"/>
    <x v="8"/>
    <x v="8"/>
    <x v="4"/>
    <x v="323"/>
    <x v="630"/>
    <x v="72"/>
    <x v="655"/>
    <x v="235"/>
    <x v="439"/>
    <x v="3"/>
  </r>
  <r>
    <x v="0"/>
    <x v="68"/>
    <x v="68"/>
    <x v="3"/>
    <x v="3"/>
    <x v="3"/>
    <x v="4"/>
    <x v="323"/>
    <x v="630"/>
    <x v="79"/>
    <x v="350"/>
    <x v="228"/>
    <x v="582"/>
    <x v="3"/>
  </r>
  <r>
    <x v="0"/>
    <x v="68"/>
    <x v="68"/>
    <x v="11"/>
    <x v="11"/>
    <x v="11"/>
    <x v="6"/>
    <x v="325"/>
    <x v="492"/>
    <x v="79"/>
    <x v="350"/>
    <x v="235"/>
    <x v="439"/>
    <x v="3"/>
  </r>
  <r>
    <x v="0"/>
    <x v="68"/>
    <x v="68"/>
    <x v="1"/>
    <x v="1"/>
    <x v="1"/>
    <x v="6"/>
    <x v="325"/>
    <x v="492"/>
    <x v="79"/>
    <x v="350"/>
    <x v="235"/>
    <x v="439"/>
    <x v="3"/>
  </r>
  <r>
    <x v="0"/>
    <x v="68"/>
    <x v="68"/>
    <x v="23"/>
    <x v="23"/>
    <x v="23"/>
    <x v="8"/>
    <x v="326"/>
    <x v="293"/>
    <x v="82"/>
    <x v="552"/>
    <x v="235"/>
    <x v="439"/>
    <x v="3"/>
  </r>
  <r>
    <x v="0"/>
    <x v="68"/>
    <x v="68"/>
    <x v="26"/>
    <x v="26"/>
    <x v="26"/>
    <x v="8"/>
    <x v="326"/>
    <x v="293"/>
    <x v="56"/>
    <x v="55"/>
    <x v="228"/>
    <x v="582"/>
    <x v="3"/>
  </r>
  <r>
    <x v="0"/>
    <x v="68"/>
    <x v="68"/>
    <x v="6"/>
    <x v="6"/>
    <x v="6"/>
    <x v="10"/>
    <x v="327"/>
    <x v="296"/>
    <x v="70"/>
    <x v="551"/>
    <x v="235"/>
    <x v="439"/>
    <x v="3"/>
  </r>
  <r>
    <x v="0"/>
    <x v="68"/>
    <x v="68"/>
    <x v="34"/>
    <x v="34"/>
    <x v="34"/>
    <x v="10"/>
    <x v="327"/>
    <x v="296"/>
    <x v="70"/>
    <x v="551"/>
    <x v="235"/>
    <x v="439"/>
    <x v="3"/>
  </r>
  <r>
    <x v="0"/>
    <x v="68"/>
    <x v="68"/>
    <x v="37"/>
    <x v="37"/>
    <x v="37"/>
    <x v="10"/>
    <x v="327"/>
    <x v="296"/>
    <x v="56"/>
    <x v="55"/>
    <x v="229"/>
    <x v="179"/>
    <x v="3"/>
  </r>
  <r>
    <x v="0"/>
    <x v="68"/>
    <x v="68"/>
    <x v="44"/>
    <x v="44"/>
    <x v="44"/>
    <x v="10"/>
    <x v="327"/>
    <x v="296"/>
    <x v="56"/>
    <x v="55"/>
    <x v="229"/>
    <x v="179"/>
    <x v="3"/>
  </r>
  <r>
    <x v="0"/>
    <x v="68"/>
    <x v="68"/>
    <x v="38"/>
    <x v="38"/>
    <x v="38"/>
    <x v="10"/>
    <x v="327"/>
    <x v="296"/>
    <x v="56"/>
    <x v="55"/>
    <x v="229"/>
    <x v="179"/>
    <x v="3"/>
  </r>
  <r>
    <x v="0"/>
    <x v="68"/>
    <x v="68"/>
    <x v="50"/>
    <x v="50"/>
    <x v="50"/>
    <x v="10"/>
    <x v="327"/>
    <x v="296"/>
    <x v="56"/>
    <x v="55"/>
    <x v="235"/>
    <x v="439"/>
    <x v="3"/>
  </r>
  <r>
    <x v="0"/>
    <x v="68"/>
    <x v="68"/>
    <x v="13"/>
    <x v="13"/>
    <x v="13"/>
    <x v="10"/>
    <x v="327"/>
    <x v="296"/>
    <x v="70"/>
    <x v="551"/>
    <x v="235"/>
    <x v="439"/>
    <x v="3"/>
  </r>
  <r>
    <x v="0"/>
    <x v="68"/>
    <x v="68"/>
    <x v="53"/>
    <x v="53"/>
    <x v="53"/>
    <x v="10"/>
    <x v="327"/>
    <x v="296"/>
    <x v="70"/>
    <x v="551"/>
    <x v="235"/>
    <x v="439"/>
    <x v="3"/>
  </r>
  <r>
    <x v="0"/>
    <x v="68"/>
    <x v="68"/>
    <x v="21"/>
    <x v="21"/>
    <x v="21"/>
    <x v="10"/>
    <x v="327"/>
    <x v="296"/>
    <x v="70"/>
    <x v="551"/>
    <x v="235"/>
    <x v="439"/>
    <x v="3"/>
  </r>
  <r>
    <x v="0"/>
    <x v="68"/>
    <x v="68"/>
    <x v="20"/>
    <x v="20"/>
    <x v="20"/>
    <x v="10"/>
    <x v="327"/>
    <x v="296"/>
    <x v="70"/>
    <x v="551"/>
    <x v="235"/>
    <x v="439"/>
    <x v="3"/>
  </r>
  <r>
    <x v="0"/>
    <x v="68"/>
    <x v="68"/>
    <x v="29"/>
    <x v="29"/>
    <x v="29"/>
    <x v="10"/>
    <x v="327"/>
    <x v="296"/>
    <x v="70"/>
    <x v="551"/>
    <x v="235"/>
    <x v="439"/>
    <x v="3"/>
  </r>
  <r>
    <x v="0"/>
    <x v="68"/>
    <x v="68"/>
    <x v="10"/>
    <x v="10"/>
    <x v="10"/>
    <x v="10"/>
    <x v="327"/>
    <x v="296"/>
    <x v="70"/>
    <x v="551"/>
    <x v="235"/>
    <x v="439"/>
    <x v="3"/>
  </r>
  <r>
    <x v="0"/>
    <x v="68"/>
    <x v="68"/>
    <x v="9"/>
    <x v="9"/>
    <x v="9"/>
    <x v="10"/>
    <x v="327"/>
    <x v="296"/>
    <x v="70"/>
    <x v="551"/>
    <x v="235"/>
    <x v="439"/>
    <x v="3"/>
  </r>
  <r>
    <x v="0"/>
    <x v="68"/>
    <x v="68"/>
    <x v="49"/>
    <x v="49"/>
    <x v="49"/>
    <x v="10"/>
    <x v="327"/>
    <x v="296"/>
    <x v="70"/>
    <x v="551"/>
    <x v="235"/>
    <x v="439"/>
    <x v="3"/>
  </r>
  <r>
    <x v="0"/>
    <x v="69"/>
    <x v="69"/>
    <x v="4"/>
    <x v="4"/>
    <x v="4"/>
    <x v="0"/>
    <x v="121"/>
    <x v="631"/>
    <x v="52"/>
    <x v="670"/>
    <x v="71"/>
    <x v="583"/>
    <x v="3"/>
  </r>
  <r>
    <x v="0"/>
    <x v="69"/>
    <x v="69"/>
    <x v="3"/>
    <x v="3"/>
    <x v="3"/>
    <x v="1"/>
    <x v="280"/>
    <x v="632"/>
    <x v="81"/>
    <x v="671"/>
    <x v="107"/>
    <x v="584"/>
    <x v="3"/>
  </r>
  <r>
    <x v="0"/>
    <x v="69"/>
    <x v="69"/>
    <x v="1"/>
    <x v="1"/>
    <x v="1"/>
    <x v="2"/>
    <x v="293"/>
    <x v="633"/>
    <x v="81"/>
    <x v="671"/>
    <x v="222"/>
    <x v="205"/>
    <x v="3"/>
  </r>
  <r>
    <x v="0"/>
    <x v="69"/>
    <x v="69"/>
    <x v="5"/>
    <x v="5"/>
    <x v="5"/>
    <x v="3"/>
    <x v="53"/>
    <x v="634"/>
    <x v="67"/>
    <x v="672"/>
    <x v="230"/>
    <x v="15"/>
    <x v="3"/>
  </r>
  <r>
    <x v="0"/>
    <x v="69"/>
    <x v="69"/>
    <x v="0"/>
    <x v="0"/>
    <x v="0"/>
    <x v="4"/>
    <x v="282"/>
    <x v="173"/>
    <x v="64"/>
    <x v="673"/>
    <x v="228"/>
    <x v="265"/>
    <x v="3"/>
  </r>
  <r>
    <x v="0"/>
    <x v="69"/>
    <x v="69"/>
    <x v="8"/>
    <x v="8"/>
    <x v="8"/>
    <x v="5"/>
    <x v="85"/>
    <x v="635"/>
    <x v="55"/>
    <x v="674"/>
    <x v="107"/>
    <x v="584"/>
    <x v="3"/>
  </r>
  <r>
    <x v="0"/>
    <x v="69"/>
    <x v="69"/>
    <x v="6"/>
    <x v="6"/>
    <x v="6"/>
    <x v="6"/>
    <x v="295"/>
    <x v="313"/>
    <x v="55"/>
    <x v="674"/>
    <x v="230"/>
    <x v="15"/>
    <x v="3"/>
  </r>
  <r>
    <x v="0"/>
    <x v="69"/>
    <x v="69"/>
    <x v="25"/>
    <x v="25"/>
    <x v="25"/>
    <x v="6"/>
    <x v="295"/>
    <x v="313"/>
    <x v="114"/>
    <x v="675"/>
    <x v="235"/>
    <x v="439"/>
    <x v="3"/>
  </r>
  <r>
    <x v="0"/>
    <x v="69"/>
    <x v="69"/>
    <x v="11"/>
    <x v="11"/>
    <x v="11"/>
    <x v="8"/>
    <x v="296"/>
    <x v="10"/>
    <x v="91"/>
    <x v="676"/>
    <x v="235"/>
    <x v="439"/>
    <x v="3"/>
  </r>
  <r>
    <x v="0"/>
    <x v="69"/>
    <x v="69"/>
    <x v="18"/>
    <x v="18"/>
    <x v="18"/>
    <x v="9"/>
    <x v="308"/>
    <x v="162"/>
    <x v="56"/>
    <x v="55"/>
    <x v="209"/>
    <x v="585"/>
    <x v="6"/>
  </r>
  <r>
    <x v="0"/>
    <x v="69"/>
    <x v="69"/>
    <x v="2"/>
    <x v="2"/>
    <x v="2"/>
    <x v="10"/>
    <x v="309"/>
    <x v="636"/>
    <x v="70"/>
    <x v="173"/>
    <x v="72"/>
    <x v="586"/>
    <x v="3"/>
  </r>
  <r>
    <x v="0"/>
    <x v="69"/>
    <x v="69"/>
    <x v="9"/>
    <x v="9"/>
    <x v="9"/>
    <x v="11"/>
    <x v="310"/>
    <x v="131"/>
    <x v="37"/>
    <x v="559"/>
    <x v="228"/>
    <x v="265"/>
    <x v="3"/>
  </r>
  <r>
    <x v="0"/>
    <x v="69"/>
    <x v="69"/>
    <x v="23"/>
    <x v="23"/>
    <x v="23"/>
    <x v="12"/>
    <x v="321"/>
    <x v="169"/>
    <x v="70"/>
    <x v="173"/>
    <x v="65"/>
    <x v="183"/>
    <x v="3"/>
  </r>
  <r>
    <x v="0"/>
    <x v="69"/>
    <x v="69"/>
    <x v="12"/>
    <x v="12"/>
    <x v="12"/>
    <x v="12"/>
    <x v="321"/>
    <x v="169"/>
    <x v="37"/>
    <x v="559"/>
    <x v="229"/>
    <x v="516"/>
    <x v="3"/>
  </r>
  <r>
    <x v="0"/>
    <x v="69"/>
    <x v="69"/>
    <x v="28"/>
    <x v="28"/>
    <x v="28"/>
    <x v="12"/>
    <x v="321"/>
    <x v="169"/>
    <x v="71"/>
    <x v="359"/>
    <x v="235"/>
    <x v="439"/>
    <x v="3"/>
  </r>
  <r>
    <x v="0"/>
    <x v="69"/>
    <x v="69"/>
    <x v="20"/>
    <x v="20"/>
    <x v="20"/>
    <x v="12"/>
    <x v="321"/>
    <x v="169"/>
    <x v="37"/>
    <x v="559"/>
    <x v="229"/>
    <x v="516"/>
    <x v="3"/>
  </r>
  <r>
    <x v="0"/>
    <x v="69"/>
    <x v="69"/>
    <x v="10"/>
    <x v="10"/>
    <x v="10"/>
    <x v="12"/>
    <x v="321"/>
    <x v="169"/>
    <x v="82"/>
    <x v="54"/>
    <x v="229"/>
    <x v="516"/>
    <x v="3"/>
  </r>
  <r>
    <x v="0"/>
    <x v="69"/>
    <x v="69"/>
    <x v="13"/>
    <x v="13"/>
    <x v="13"/>
    <x v="17"/>
    <x v="323"/>
    <x v="471"/>
    <x v="79"/>
    <x v="38"/>
    <x v="228"/>
    <x v="265"/>
    <x v="3"/>
  </r>
  <r>
    <x v="0"/>
    <x v="69"/>
    <x v="69"/>
    <x v="30"/>
    <x v="30"/>
    <x v="30"/>
    <x v="18"/>
    <x v="324"/>
    <x v="637"/>
    <x v="70"/>
    <x v="173"/>
    <x v="222"/>
    <x v="205"/>
    <x v="3"/>
  </r>
  <r>
    <x v="0"/>
    <x v="69"/>
    <x v="69"/>
    <x v="33"/>
    <x v="33"/>
    <x v="33"/>
    <x v="18"/>
    <x v="324"/>
    <x v="637"/>
    <x v="53"/>
    <x v="306"/>
    <x v="235"/>
    <x v="439"/>
    <x v="3"/>
  </r>
  <r>
    <x v="0"/>
    <x v="69"/>
    <x v="69"/>
    <x v="26"/>
    <x v="26"/>
    <x v="26"/>
    <x v="18"/>
    <x v="324"/>
    <x v="637"/>
    <x v="82"/>
    <x v="54"/>
    <x v="228"/>
    <x v="265"/>
    <x v="3"/>
  </r>
  <r>
    <x v="0"/>
    <x v="69"/>
    <x v="69"/>
    <x v="17"/>
    <x v="17"/>
    <x v="17"/>
    <x v="18"/>
    <x v="324"/>
    <x v="637"/>
    <x v="82"/>
    <x v="54"/>
    <x v="228"/>
    <x v="265"/>
    <x v="3"/>
  </r>
  <r>
    <x v="0"/>
    <x v="69"/>
    <x v="69"/>
    <x v="14"/>
    <x v="14"/>
    <x v="14"/>
    <x v="18"/>
    <x v="324"/>
    <x v="637"/>
    <x v="56"/>
    <x v="55"/>
    <x v="230"/>
    <x v="15"/>
    <x v="3"/>
  </r>
  <r>
    <x v="0"/>
    <x v="69"/>
    <x v="69"/>
    <x v="16"/>
    <x v="16"/>
    <x v="16"/>
    <x v="18"/>
    <x v="324"/>
    <x v="637"/>
    <x v="56"/>
    <x v="55"/>
    <x v="230"/>
    <x v="15"/>
    <x v="3"/>
  </r>
  <r>
    <x v="0"/>
    <x v="69"/>
    <x v="69"/>
    <x v="21"/>
    <x v="21"/>
    <x v="21"/>
    <x v="18"/>
    <x v="324"/>
    <x v="637"/>
    <x v="79"/>
    <x v="38"/>
    <x v="235"/>
    <x v="439"/>
    <x v="3"/>
  </r>
  <r>
    <x v="0"/>
    <x v="70"/>
    <x v="70"/>
    <x v="1"/>
    <x v="1"/>
    <x v="1"/>
    <x v="0"/>
    <x v="119"/>
    <x v="638"/>
    <x v="227"/>
    <x v="677"/>
    <x v="209"/>
    <x v="165"/>
    <x v="3"/>
  </r>
  <r>
    <x v="0"/>
    <x v="70"/>
    <x v="70"/>
    <x v="0"/>
    <x v="0"/>
    <x v="0"/>
    <x v="1"/>
    <x v="45"/>
    <x v="22"/>
    <x v="154"/>
    <x v="678"/>
    <x v="65"/>
    <x v="568"/>
    <x v="3"/>
  </r>
  <r>
    <x v="0"/>
    <x v="70"/>
    <x v="70"/>
    <x v="4"/>
    <x v="4"/>
    <x v="4"/>
    <x v="2"/>
    <x v="254"/>
    <x v="569"/>
    <x v="106"/>
    <x v="291"/>
    <x v="68"/>
    <x v="451"/>
    <x v="3"/>
  </r>
  <r>
    <x v="0"/>
    <x v="70"/>
    <x v="70"/>
    <x v="3"/>
    <x v="3"/>
    <x v="3"/>
    <x v="3"/>
    <x v="80"/>
    <x v="367"/>
    <x v="61"/>
    <x v="372"/>
    <x v="56"/>
    <x v="146"/>
    <x v="3"/>
  </r>
  <r>
    <x v="0"/>
    <x v="70"/>
    <x v="70"/>
    <x v="2"/>
    <x v="2"/>
    <x v="2"/>
    <x v="4"/>
    <x v="68"/>
    <x v="173"/>
    <x v="91"/>
    <x v="362"/>
    <x v="51"/>
    <x v="587"/>
    <x v="3"/>
  </r>
  <r>
    <x v="0"/>
    <x v="70"/>
    <x v="70"/>
    <x v="10"/>
    <x v="10"/>
    <x v="10"/>
    <x v="4"/>
    <x v="68"/>
    <x v="173"/>
    <x v="66"/>
    <x v="679"/>
    <x v="225"/>
    <x v="588"/>
    <x v="0"/>
  </r>
  <r>
    <x v="0"/>
    <x v="70"/>
    <x v="70"/>
    <x v="5"/>
    <x v="5"/>
    <x v="5"/>
    <x v="6"/>
    <x v="264"/>
    <x v="126"/>
    <x v="52"/>
    <x v="680"/>
    <x v="205"/>
    <x v="589"/>
    <x v="3"/>
  </r>
  <r>
    <x v="0"/>
    <x v="70"/>
    <x v="70"/>
    <x v="8"/>
    <x v="8"/>
    <x v="8"/>
    <x v="7"/>
    <x v="293"/>
    <x v="635"/>
    <x v="37"/>
    <x v="68"/>
    <x v="104"/>
    <x v="590"/>
    <x v="3"/>
  </r>
  <r>
    <x v="0"/>
    <x v="70"/>
    <x v="70"/>
    <x v="11"/>
    <x v="11"/>
    <x v="11"/>
    <x v="8"/>
    <x v="124"/>
    <x v="500"/>
    <x v="83"/>
    <x v="681"/>
    <x v="109"/>
    <x v="169"/>
    <x v="3"/>
  </r>
  <r>
    <x v="0"/>
    <x v="70"/>
    <x v="70"/>
    <x v="9"/>
    <x v="9"/>
    <x v="9"/>
    <x v="9"/>
    <x v="81"/>
    <x v="260"/>
    <x v="80"/>
    <x v="233"/>
    <x v="230"/>
    <x v="591"/>
    <x v="3"/>
  </r>
  <r>
    <x v="0"/>
    <x v="70"/>
    <x v="70"/>
    <x v="17"/>
    <x v="17"/>
    <x v="17"/>
    <x v="10"/>
    <x v="125"/>
    <x v="456"/>
    <x v="70"/>
    <x v="169"/>
    <x v="201"/>
    <x v="592"/>
    <x v="3"/>
  </r>
  <r>
    <x v="0"/>
    <x v="70"/>
    <x v="70"/>
    <x v="14"/>
    <x v="14"/>
    <x v="14"/>
    <x v="10"/>
    <x v="125"/>
    <x v="456"/>
    <x v="82"/>
    <x v="71"/>
    <x v="54"/>
    <x v="593"/>
    <x v="3"/>
  </r>
  <r>
    <x v="0"/>
    <x v="70"/>
    <x v="70"/>
    <x v="25"/>
    <x v="25"/>
    <x v="25"/>
    <x v="12"/>
    <x v="294"/>
    <x v="150"/>
    <x v="114"/>
    <x v="454"/>
    <x v="228"/>
    <x v="485"/>
    <x v="3"/>
  </r>
  <r>
    <x v="0"/>
    <x v="70"/>
    <x v="70"/>
    <x v="18"/>
    <x v="18"/>
    <x v="18"/>
    <x v="13"/>
    <x v="304"/>
    <x v="168"/>
    <x v="56"/>
    <x v="55"/>
    <x v="205"/>
    <x v="589"/>
    <x v="3"/>
  </r>
  <r>
    <x v="0"/>
    <x v="70"/>
    <x v="70"/>
    <x v="6"/>
    <x v="6"/>
    <x v="6"/>
    <x v="14"/>
    <x v="296"/>
    <x v="470"/>
    <x v="37"/>
    <x v="68"/>
    <x v="210"/>
    <x v="594"/>
    <x v="3"/>
  </r>
  <r>
    <x v="0"/>
    <x v="70"/>
    <x v="70"/>
    <x v="39"/>
    <x v="39"/>
    <x v="39"/>
    <x v="15"/>
    <x v="308"/>
    <x v="120"/>
    <x v="56"/>
    <x v="55"/>
    <x v="57"/>
    <x v="32"/>
    <x v="3"/>
  </r>
  <r>
    <x v="0"/>
    <x v="70"/>
    <x v="70"/>
    <x v="20"/>
    <x v="20"/>
    <x v="20"/>
    <x v="15"/>
    <x v="308"/>
    <x v="120"/>
    <x v="53"/>
    <x v="222"/>
    <x v="209"/>
    <x v="165"/>
    <x v="3"/>
  </r>
  <r>
    <x v="0"/>
    <x v="70"/>
    <x v="70"/>
    <x v="19"/>
    <x v="19"/>
    <x v="19"/>
    <x v="17"/>
    <x v="309"/>
    <x v="134"/>
    <x v="56"/>
    <x v="55"/>
    <x v="47"/>
    <x v="12"/>
    <x v="3"/>
  </r>
  <r>
    <x v="0"/>
    <x v="70"/>
    <x v="70"/>
    <x v="22"/>
    <x v="22"/>
    <x v="22"/>
    <x v="18"/>
    <x v="320"/>
    <x v="639"/>
    <x v="56"/>
    <x v="55"/>
    <x v="209"/>
    <x v="165"/>
    <x v="6"/>
  </r>
  <r>
    <x v="0"/>
    <x v="70"/>
    <x v="70"/>
    <x v="15"/>
    <x v="15"/>
    <x v="15"/>
    <x v="18"/>
    <x v="320"/>
    <x v="639"/>
    <x v="56"/>
    <x v="55"/>
    <x v="107"/>
    <x v="50"/>
    <x v="3"/>
  </r>
  <r>
    <x v="0"/>
    <x v="70"/>
    <x v="70"/>
    <x v="7"/>
    <x v="7"/>
    <x v="7"/>
    <x v="18"/>
    <x v="320"/>
    <x v="639"/>
    <x v="71"/>
    <x v="682"/>
    <x v="228"/>
    <x v="485"/>
    <x v="3"/>
  </r>
  <r>
    <x v="0"/>
    <x v="70"/>
    <x v="70"/>
    <x v="13"/>
    <x v="13"/>
    <x v="13"/>
    <x v="18"/>
    <x v="320"/>
    <x v="639"/>
    <x v="37"/>
    <x v="68"/>
    <x v="222"/>
    <x v="252"/>
    <x v="3"/>
  </r>
  <r>
    <x v="0"/>
    <x v="70"/>
    <x v="70"/>
    <x v="29"/>
    <x v="29"/>
    <x v="29"/>
    <x v="18"/>
    <x v="320"/>
    <x v="639"/>
    <x v="72"/>
    <x v="376"/>
    <x v="222"/>
    <x v="252"/>
    <x v="3"/>
  </r>
  <r>
    <x v="0"/>
    <x v="71"/>
    <x v="71"/>
    <x v="4"/>
    <x v="4"/>
    <x v="4"/>
    <x v="0"/>
    <x v="63"/>
    <x v="640"/>
    <x v="45"/>
    <x v="683"/>
    <x v="198"/>
    <x v="595"/>
    <x v="3"/>
  </r>
  <r>
    <x v="0"/>
    <x v="71"/>
    <x v="71"/>
    <x v="1"/>
    <x v="1"/>
    <x v="1"/>
    <x v="1"/>
    <x v="67"/>
    <x v="641"/>
    <x v="48"/>
    <x v="684"/>
    <x v="229"/>
    <x v="596"/>
    <x v="3"/>
  </r>
  <r>
    <x v="0"/>
    <x v="71"/>
    <x v="71"/>
    <x v="5"/>
    <x v="5"/>
    <x v="5"/>
    <x v="2"/>
    <x v="52"/>
    <x v="642"/>
    <x v="80"/>
    <x v="685"/>
    <x v="65"/>
    <x v="106"/>
    <x v="3"/>
  </r>
  <r>
    <x v="0"/>
    <x v="71"/>
    <x v="71"/>
    <x v="0"/>
    <x v="0"/>
    <x v="0"/>
    <x v="3"/>
    <x v="282"/>
    <x v="397"/>
    <x v="64"/>
    <x v="686"/>
    <x v="228"/>
    <x v="597"/>
    <x v="3"/>
  </r>
  <r>
    <x v="0"/>
    <x v="71"/>
    <x v="71"/>
    <x v="3"/>
    <x v="3"/>
    <x v="3"/>
    <x v="4"/>
    <x v="294"/>
    <x v="215"/>
    <x v="54"/>
    <x v="632"/>
    <x v="230"/>
    <x v="173"/>
    <x v="3"/>
  </r>
  <r>
    <x v="0"/>
    <x v="71"/>
    <x v="71"/>
    <x v="13"/>
    <x v="13"/>
    <x v="13"/>
    <x v="4"/>
    <x v="294"/>
    <x v="215"/>
    <x v="37"/>
    <x v="147"/>
    <x v="72"/>
    <x v="81"/>
    <x v="3"/>
  </r>
  <r>
    <x v="0"/>
    <x v="71"/>
    <x v="71"/>
    <x v="10"/>
    <x v="10"/>
    <x v="10"/>
    <x v="6"/>
    <x v="304"/>
    <x v="343"/>
    <x v="84"/>
    <x v="341"/>
    <x v="235"/>
    <x v="439"/>
    <x v="3"/>
  </r>
  <r>
    <x v="0"/>
    <x v="71"/>
    <x v="71"/>
    <x v="8"/>
    <x v="8"/>
    <x v="8"/>
    <x v="7"/>
    <x v="295"/>
    <x v="543"/>
    <x v="46"/>
    <x v="314"/>
    <x v="65"/>
    <x v="106"/>
    <x v="3"/>
  </r>
  <r>
    <x v="0"/>
    <x v="71"/>
    <x v="71"/>
    <x v="9"/>
    <x v="9"/>
    <x v="9"/>
    <x v="7"/>
    <x v="295"/>
    <x v="543"/>
    <x v="54"/>
    <x v="632"/>
    <x v="228"/>
    <x v="597"/>
    <x v="3"/>
  </r>
  <r>
    <x v="0"/>
    <x v="71"/>
    <x v="71"/>
    <x v="6"/>
    <x v="6"/>
    <x v="6"/>
    <x v="9"/>
    <x v="296"/>
    <x v="82"/>
    <x v="72"/>
    <x v="622"/>
    <x v="209"/>
    <x v="598"/>
    <x v="3"/>
  </r>
  <r>
    <x v="0"/>
    <x v="71"/>
    <x v="71"/>
    <x v="11"/>
    <x v="11"/>
    <x v="11"/>
    <x v="9"/>
    <x v="296"/>
    <x v="82"/>
    <x v="106"/>
    <x v="687"/>
    <x v="228"/>
    <x v="597"/>
    <x v="3"/>
  </r>
  <r>
    <x v="0"/>
    <x v="71"/>
    <x v="71"/>
    <x v="18"/>
    <x v="18"/>
    <x v="18"/>
    <x v="11"/>
    <x v="322"/>
    <x v="250"/>
    <x v="56"/>
    <x v="55"/>
    <x v="107"/>
    <x v="599"/>
    <x v="3"/>
  </r>
  <r>
    <x v="0"/>
    <x v="71"/>
    <x v="71"/>
    <x v="21"/>
    <x v="21"/>
    <x v="21"/>
    <x v="12"/>
    <x v="310"/>
    <x v="222"/>
    <x v="37"/>
    <x v="147"/>
    <x v="228"/>
    <x v="597"/>
    <x v="3"/>
  </r>
  <r>
    <x v="0"/>
    <x v="71"/>
    <x v="71"/>
    <x v="29"/>
    <x v="29"/>
    <x v="29"/>
    <x v="12"/>
    <x v="310"/>
    <x v="222"/>
    <x v="82"/>
    <x v="65"/>
    <x v="235"/>
    <x v="439"/>
    <x v="3"/>
  </r>
  <r>
    <x v="0"/>
    <x v="71"/>
    <x v="71"/>
    <x v="25"/>
    <x v="25"/>
    <x v="25"/>
    <x v="14"/>
    <x v="321"/>
    <x v="117"/>
    <x v="71"/>
    <x v="305"/>
    <x v="235"/>
    <x v="439"/>
    <x v="3"/>
  </r>
  <r>
    <x v="0"/>
    <x v="71"/>
    <x v="71"/>
    <x v="17"/>
    <x v="17"/>
    <x v="17"/>
    <x v="15"/>
    <x v="311"/>
    <x v="87"/>
    <x v="70"/>
    <x v="120"/>
    <x v="225"/>
    <x v="436"/>
    <x v="3"/>
  </r>
  <r>
    <x v="0"/>
    <x v="71"/>
    <x v="71"/>
    <x v="20"/>
    <x v="20"/>
    <x v="20"/>
    <x v="15"/>
    <x v="311"/>
    <x v="87"/>
    <x v="79"/>
    <x v="197"/>
    <x v="222"/>
    <x v="286"/>
    <x v="3"/>
  </r>
  <r>
    <x v="0"/>
    <x v="71"/>
    <x v="71"/>
    <x v="23"/>
    <x v="23"/>
    <x v="23"/>
    <x v="17"/>
    <x v="323"/>
    <x v="53"/>
    <x v="82"/>
    <x v="65"/>
    <x v="222"/>
    <x v="286"/>
    <x v="3"/>
  </r>
  <r>
    <x v="0"/>
    <x v="71"/>
    <x v="71"/>
    <x v="12"/>
    <x v="12"/>
    <x v="12"/>
    <x v="17"/>
    <x v="323"/>
    <x v="53"/>
    <x v="72"/>
    <x v="622"/>
    <x v="235"/>
    <x v="439"/>
    <x v="3"/>
  </r>
  <r>
    <x v="0"/>
    <x v="71"/>
    <x v="71"/>
    <x v="37"/>
    <x v="37"/>
    <x v="37"/>
    <x v="19"/>
    <x v="324"/>
    <x v="136"/>
    <x v="82"/>
    <x v="65"/>
    <x v="228"/>
    <x v="597"/>
    <x v="3"/>
  </r>
  <r>
    <x v="0"/>
    <x v="71"/>
    <x v="71"/>
    <x v="30"/>
    <x v="30"/>
    <x v="30"/>
    <x v="19"/>
    <x v="324"/>
    <x v="136"/>
    <x v="70"/>
    <x v="120"/>
    <x v="222"/>
    <x v="286"/>
    <x v="3"/>
  </r>
  <r>
    <x v="0"/>
    <x v="72"/>
    <x v="72"/>
    <x v="1"/>
    <x v="1"/>
    <x v="1"/>
    <x v="0"/>
    <x v="85"/>
    <x v="643"/>
    <x v="64"/>
    <x v="688"/>
    <x v="235"/>
    <x v="439"/>
    <x v="3"/>
  </r>
  <r>
    <x v="0"/>
    <x v="72"/>
    <x v="72"/>
    <x v="2"/>
    <x v="2"/>
    <x v="2"/>
    <x v="1"/>
    <x v="304"/>
    <x v="644"/>
    <x v="54"/>
    <x v="562"/>
    <x v="222"/>
    <x v="600"/>
    <x v="3"/>
  </r>
  <r>
    <x v="0"/>
    <x v="72"/>
    <x v="72"/>
    <x v="8"/>
    <x v="8"/>
    <x v="8"/>
    <x v="2"/>
    <x v="309"/>
    <x v="645"/>
    <x v="53"/>
    <x v="566"/>
    <x v="210"/>
    <x v="601"/>
    <x v="3"/>
  </r>
  <r>
    <x v="0"/>
    <x v="72"/>
    <x v="72"/>
    <x v="4"/>
    <x v="4"/>
    <x v="4"/>
    <x v="3"/>
    <x v="322"/>
    <x v="646"/>
    <x v="82"/>
    <x v="568"/>
    <x v="209"/>
    <x v="602"/>
    <x v="3"/>
  </r>
  <r>
    <x v="0"/>
    <x v="72"/>
    <x v="72"/>
    <x v="3"/>
    <x v="3"/>
    <x v="3"/>
    <x v="3"/>
    <x v="322"/>
    <x v="646"/>
    <x v="37"/>
    <x v="567"/>
    <x v="230"/>
    <x v="603"/>
    <x v="3"/>
  </r>
  <r>
    <x v="0"/>
    <x v="72"/>
    <x v="72"/>
    <x v="5"/>
    <x v="5"/>
    <x v="5"/>
    <x v="5"/>
    <x v="311"/>
    <x v="647"/>
    <x v="72"/>
    <x v="564"/>
    <x v="229"/>
    <x v="198"/>
    <x v="3"/>
  </r>
  <r>
    <x v="0"/>
    <x v="72"/>
    <x v="72"/>
    <x v="0"/>
    <x v="0"/>
    <x v="0"/>
    <x v="6"/>
    <x v="323"/>
    <x v="529"/>
    <x v="72"/>
    <x v="564"/>
    <x v="235"/>
    <x v="439"/>
    <x v="3"/>
  </r>
  <r>
    <x v="0"/>
    <x v="72"/>
    <x v="72"/>
    <x v="9"/>
    <x v="9"/>
    <x v="9"/>
    <x v="7"/>
    <x v="324"/>
    <x v="585"/>
    <x v="53"/>
    <x v="566"/>
    <x v="235"/>
    <x v="439"/>
    <x v="3"/>
  </r>
  <r>
    <x v="0"/>
    <x v="72"/>
    <x v="72"/>
    <x v="11"/>
    <x v="11"/>
    <x v="11"/>
    <x v="8"/>
    <x v="325"/>
    <x v="49"/>
    <x v="79"/>
    <x v="563"/>
    <x v="235"/>
    <x v="439"/>
    <x v="3"/>
  </r>
  <r>
    <x v="0"/>
    <x v="72"/>
    <x v="72"/>
    <x v="34"/>
    <x v="34"/>
    <x v="34"/>
    <x v="9"/>
    <x v="326"/>
    <x v="225"/>
    <x v="82"/>
    <x v="568"/>
    <x v="235"/>
    <x v="439"/>
    <x v="3"/>
  </r>
  <r>
    <x v="0"/>
    <x v="72"/>
    <x v="72"/>
    <x v="36"/>
    <x v="36"/>
    <x v="36"/>
    <x v="9"/>
    <x v="326"/>
    <x v="225"/>
    <x v="70"/>
    <x v="218"/>
    <x v="229"/>
    <x v="198"/>
    <x v="3"/>
  </r>
  <r>
    <x v="0"/>
    <x v="72"/>
    <x v="72"/>
    <x v="13"/>
    <x v="13"/>
    <x v="13"/>
    <x v="9"/>
    <x v="326"/>
    <x v="225"/>
    <x v="70"/>
    <x v="218"/>
    <x v="229"/>
    <x v="198"/>
    <x v="3"/>
  </r>
  <r>
    <x v="0"/>
    <x v="72"/>
    <x v="72"/>
    <x v="21"/>
    <x v="21"/>
    <x v="21"/>
    <x v="9"/>
    <x v="326"/>
    <x v="225"/>
    <x v="70"/>
    <x v="218"/>
    <x v="229"/>
    <x v="198"/>
    <x v="3"/>
  </r>
  <r>
    <x v="0"/>
    <x v="72"/>
    <x v="72"/>
    <x v="20"/>
    <x v="20"/>
    <x v="20"/>
    <x v="9"/>
    <x v="326"/>
    <x v="225"/>
    <x v="70"/>
    <x v="218"/>
    <x v="229"/>
    <x v="198"/>
    <x v="3"/>
  </r>
  <r>
    <x v="0"/>
    <x v="72"/>
    <x v="72"/>
    <x v="10"/>
    <x v="10"/>
    <x v="10"/>
    <x v="9"/>
    <x v="326"/>
    <x v="225"/>
    <x v="82"/>
    <x v="568"/>
    <x v="235"/>
    <x v="439"/>
    <x v="3"/>
  </r>
  <r>
    <x v="0"/>
    <x v="72"/>
    <x v="72"/>
    <x v="25"/>
    <x v="25"/>
    <x v="25"/>
    <x v="9"/>
    <x v="326"/>
    <x v="225"/>
    <x v="82"/>
    <x v="568"/>
    <x v="235"/>
    <x v="439"/>
    <x v="3"/>
  </r>
  <r>
    <x v="0"/>
    <x v="72"/>
    <x v="72"/>
    <x v="6"/>
    <x v="6"/>
    <x v="6"/>
    <x v="16"/>
    <x v="327"/>
    <x v="648"/>
    <x v="56"/>
    <x v="55"/>
    <x v="229"/>
    <x v="198"/>
    <x v="3"/>
  </r>
  <r>
    <x v="0"/>
    <x v="72"/>
    <x v="72"/>
    <x v="37"/>
    <x v="37"/>
    <x v="37"/>
    <x v="16"/>
    <x v="327"/>
    <x v="648"/>
    <x v="56"/>
    <x v="55"/>
    <x v="229"/>
    <x v="198"/>
    <x v="3"/>
  </r>
  <r>
    <x v="0"/>
    <x v="72"/>
    <x v="72"/>
    <x v="30"/>
    <x v="30"/>
    <x v="30"/>
    <x v="16"/>
    <x v="327"/>
    <x v="648"/>
    <x v="56"/>
    <x v="55"/>
    <x v="229"/>
    <x v="198"/>
    <x v="3"/>
  </r>
  <r>
    <x v="0"/>
    <x v="72"/>
    <x v="72"/>
    <x v="46"/>
    <x v="46"/>
    <x v="46"/>
    <x v="16"/>
    <x v="327"/>
    <x v="648"/>
    <x v="70"/>
    <x v="218"/>
    <x v="235"/>
    <x v="439"/>
    <x v="3"/>
  </r>
  <r>
    <x v="0"/>
    <x v="72"/>
    <x v="72"/>
    <x v="40"/>
    <x v="40"/>
    <x v="40"/>
    <x v="16"/>
    <x v="327"/>
    <x v="648"/>
    <x v="56"/>
    <x v="55"/>
    <x v="229"/>
    <x v="198"/>
    <x v="3"/>
  </r>
  <r>
    <x v="0"/>
    <x v="72"/>
    <x v="72"/>
    <x v="26"/>
    <x v="26"/>
    <x v="26"/>
    <x v="16"/>
    <x v="327"/>
    <x v="648"/>
    <x v="70"/>
    <x v="218"/>
    <x v="235"/>
    <x v="439"/>
    <x v="3"/>
  </r>
  <r>
    <x v="0"/>
    <x v="72"/>
    <x v="72"/>
    <x v="17"/>
    <x v="17"/>
    <x v="17"/>
    <x v="16"/>
    <x v="327"/>
    <x v="648"/>
    <x v="56"/>
    <x v="55"/>
    <x v="229"/>
    <x v="198"/>
    <x v="3"/>
  </r>
  <r>
    <x v="0"/>
    <x v="72"/>
    <x v="72"/>
    <x v="14"/>
    <x v="14"/>
    <x v="14"/>
    <x v="16"/>
    <x v="327"/>
    <x v="648"/>
    <x v="56"/>
    <x v="55"/>
    <x v="229"/>
    <x v="198"/>
    <x v="3"/>
  </r>
  <r>
    <x v="0"/>
    <x v="72"/>
    <x v="72"/>
    <x v="12"/>
    <x v="12"/>
    <x v="12"/>
    <x v="16"/>
    <x v="327"/>
    <x v="648"/>
    <x v="70"/>
    <x v="218"/>
    <x v="235"/>
    <x v="439"/>
    <x v="3"/>
  </r>
  <r>
    <x v="0"/>
    <x v="72"/>
    <x v="72"/>
    <x v="28"/>
    <x v="28"/>
    <x v="28"/>
    <x v="16"/>
    <x v="327"/>
    <x v="648"/>
    <x v="56"/>
    <x v="55"/>
    <x v="229"/>
    <x v="198"/>
    <x v="3"/>
  </r>
  <r>
    <x v="0"/>
    <x v="72"/>
    <x v="72"/>
    <x v="24"/>
    <x v="24"/>
    <x v="24"/>
    <x v="16"/>
    <x v="327"/>
    <x v="648"/>
    <x v="56"/>
    <x v="55"/>
    <x v="229"/>
    <x v="198"/>
    <x v="3"/>
  </r>
  <r>
    <x v="0"/>
    <x v="72"/>
    <x v="72"/>
    <x v="15"/>
    <x v="15"/>
    <x v="15"/>
    <x v="16"/>
    <x v="327"/>
    <x v="648"/>
    <x v="56"/>
    <x v="55"/>
    <x v="229"/>
    <x v="198"/>
    <x v="3"/>
  </r>
  <r>
    <x v="0"/>
    <x v="72"/>
    <x v="72"/>
    <x v="7"/>
    <x v="7"/>
    <x v="7"/>
    <x v="16"/>
    <x v="327"/>
    <x v="648"/>
    <x v="70"/>
    <x v="218"/>
    <x v="235"/>
    <x v="439"/>
    <x v="3"/>
  </r>
  <r>
    <x v="0"/>
    <x v="72"/>
    <x v="72"/>
    <x v="18"/>
    <x v="18"/>
    <x v="18"/>
    <x v="16"/>
    <x v="327"/>
    <x v="648"/>
    <x v="56"/>
    <x v="55"/>
    <x v="229"/>
    <x v="198"/>
    <x v="3"/>
  </r>
  <r>
    <x v="0"/>
    <x v="72"/>
    <x v="72"/>
    <x v="41"/>
    <x v="41"/>
    <x v="41"/>
    <x v="16"/>
    <x v="327"/>
    <x v="648"/>
    <x v="70"/>
    <x v="218"/>
    <x v="235"/>
    <x v="439"/>
    <x v="3"/>
  </r>
  <r>
    <x v="0"/>
    <x v="73"/>
    <x v="73"/>
    <x v="4"/>
    <x v="4"/>
    <x v="4"/>
    <x v="0"/>
    <x v="85"/>
    <x v="649"/>
    <x v="46"/>
    <x v="689"/>
    <x v="47"/>
    <x v="604"/>
    <x v="3"/>
  </r>
  <r>
    <x v="0"/>
    <x v="73"/>
    <x v="73"/>
    <x v="5"/>
    <x v="5"/>
    <x v="5"/>
    <x v="1"/>
    <x v="295"/>
    <x v="650"/>
    <x v="54"/>
    <x v="690"/>
    <x v="228"/>
    <x v="605"/>
    <x v="3"/>
  </r>
  <r>
    <x v="0"/>
    <x v="73"/>
    <x v="73"/>
    <x v="1"/>
    <x v="1"/>
    <x v="1"/>
    <x v="2"/>
    <x v="308"/>
    <x v="651"/>
    <x v="54"/>
    <x v="690"/>
    <x v="235"/>
    <x v="439"/>
    <x v="3"/>
  </r>
  <r>
    <x v="0"/>
    <x v="73"/>
    <x v="73"/>
    <x v="3"/>
    <x v="3"/>
    <x v="3"/>
    <x v="3"/>
    <x v="320"/>
    <x v="629"/>
    <x v="79"/>
    <x v="691"/>
    <x v="65"/>
    <x v="606"/>
    <x v="3"/>
  </r>
  <r>
    <x v="0"/>
    <x v="73"/>
    <x v="73"/>
    <x v="6"/>
    <x v="6"/>
    <x v="6"/>
    <x v="4"/>
    <x v="311"/>
    <x v="652"/>
    <x v="53"/>
    <x v="692"/>
    <x v="228"/>
    <x v="605"/>
    <x v="3"/>
  </r>
  <r>
    <x v="0"/>
    <x v="73"/>
    <x v="73"/>
    <x v="11"/>
    <x v="11"/>
    <x v="11"/>
    <x v="5"/>
    <x v="323"/>
    <x v="542"/>
    <x v="72"/>
    <x v="693"/>
    <x v="235"/>
    <x v="439"/>
    <x v="3"/>
  </r>
  <r>
    <x v="0"/>
    <x v="73"/>
    <x v="73"/>
    <x v="18"/>
    <x v="18"/>
    <x v="18"/>
    <x v="5"/>
    <x v="323"/>
    <x v="542"/>
    <x v="56"/>
    <x v="55"/>
    <x v="230"/>
    <x v="2"/>
    <x v="3"/>
  </r>
  <r>
    <x v="0"/>
    <x v="73"/>
    <x v="73"/>
    <x v="25"/>
    <x v="25"/>
    <x v="25"/>
    <x v="5"/>
    <x v="323"/>
    <x v="542"/>
    <x v="72"/>
    <x v="693"/>
    <x v="235"/>
    <x v="439"/>
    <x v="3"/>
  </r>
  <r>
    <x v="0"/>
    <x v="73"/>
    <x v="73"/>
    <x v="8"/>
    <x v="8"/>
    <x v="8"/>
    <x v="8"/>
    <x v="324"/>
    <x v="205"/>
    <x v="82"/>
    <x v="498"/>
    <x v="228"/>
    <x v="605"/>
    <x v="3"/>
  </r>
  <r>
    <x v="0"/>
    <x v="73"/>
    <x v="73"/>
    <x v="16"/>
    <x v="16"/>
    <x v="16"/>
    <x v="9"/>
    <x v="325"/>
    <x v="293"/>
    <x v="70"/>
    <x v="105"/>
    <x v="228"/>
    <x v="605"/>
    <x v="3"/>
  </r>
  <r>
    <x v="0"/>
    <x v="73"/>
    <x v="73"/>
    <x v="12"/>
    <x v="12"/>
    <x v="12"/>
    <x v="9"/>
    <x v="325"/>
    <x v="293"/>
    <x v="79"/>
    <x v="691"/>
    <x v="235"/>
    <x v="439"/>
    <x v="3"/>
  </r>
  <r>
    <x v="0"/>
    <x v="73"/>
    <x v="73"/>
    <x v="0"/>
    <x v="0"/>
    <x v="0"/>
    <x v="9"/>
    <x v="325"/>
    <x v="293"/>
    <x v="82"/>
    <x v="498"/>
    <x v="229"/>
    <x v="30"/>
    <x v="3"/>
  </r>
  <r>
    <x v="0"/>
    <x v="73"/>
    <x v="73"/>
    <x v="41"/>
    <x v="41"/>
    <x v="41"/>
    <x v="9"/>
    <x v="325"/>
    <x v="293"/>
    <x v="79"/>
    <x v="691"/>
    <x v="235"/>
    <x v="439"/>
    <x v="3"/>
  </r>
  <r>
    <x v="0"/>
    <x v="73"/>
    <x v="73"/>
    <x v="15"/>
    <x v="15"/>
    <x v="15"/>
    <x v="13"/>
    <x v="326"/>
    <x v="151"/>
    <x v="70"/>
    <x v="105"/>
    <x v="229"/>
    <x v="30"/>
    <x v="3"/>
  </r>
  <r>
    <x v="0"/>
    <x v="73"/>
    <x v="73"/>
    <x v="42"/>
    <x v="42"/>
    <x v="42"/>
    <x v="13"/>
    <x v="326"/>
    <x v="151"/>
    <x v="56"/>
    <x v="55"/>
    <x v="228"/>
    <x v="605"/>
    <x v="3"/>
  </r>
  <r>
    <x v="0"/>
    <x v="73"/>
    <x v="73"/>
    <x v="34"/>
    <x v="34"/>
    <x v="34"/>
    <x v="15"/>
    <x v="327"/>
    <x v="612"/>
    <x v="56"/>
    <x v="55"/>
    <x v="229"/>
    <x v="30"/>
    <x v="3"/>
  </r>
  <r>
    <x v="0"/>
    <x v="73"/>
    <x v="73"/>
    <x v="37"/>
    <x v="37"/>
    <x v="37"/>
    <x v="15"/>
    <x v="327"/>
    <x v="612"/>
    <x v="56"/>
    <x v="55"/>
    <x v="229"/>
    <x v="30"/>
    <x v="3"/>
  </r>
  <r>
    <x v="0"/>
    <x v="73"/>
    <x v="73"/>
    <x v="38"/>
    <x v="38"/>
    <x v="38"/>
    <x v="15"/>
    <x v="327"/>
    <x v="612"/>
    <x v="56"/>
    <x v="55"/>
    <x v="229"/>
    <x v="30"/>
    <x v="3"/>
  </r>
  <r>
    <x v="0"/>
    <x v="73"/>
    <x v="73"/>
    <x v="30"/>
    <x v="30"/>
    <x v="30"/>
    <x v="15"/>
    <x v="327"/>
    <x v="612"/>
    <x v="56"/>
    <x v="55"/>
    <x v="229"/>
    <x v="30"/>
    <x v="3"/>
  </r>
  <r>
    <x v="0"/>
    <x v="73"/>
    <x v="73"/>
    <x v="46"/>
    <x v="46"/>
    <x v="46"/>
    <x v="15"/>
    <x v="327"/>
    <x v="612"/>
    <x v="56"/>
    <x v="55"/>
    <x v="229"/>
    <x v="30"/>
    <x v="3"/>
  </r>
  <r>
    <x v="0"/>
    <x v="73"/>
    <x v="73"/>
    <x v="22"/>
    <x v="22"/>
    <x v="22"/>
    <x v="15"/>
    <x v="327"/>
    <x v="612"/>
    <x v="70"/>
    <x v="105"/>
    <x v="235"/>
    <x v="439"/>
    <x v="3"/>
  </r>
  <r>
    <x v="0"/>
    <x v="73"/>
    <x v="73"/>
    <x v="26"/>
    <x v="26"/>
    <x v="26"/>
    <x v="15"/>
    <x v="327"/>
    <x v="612"/>
    <x v="70"/>
    <x v="105"/>
    <x v="235"/>
    <x v="439"/>
    <x v="3"/>
  </r>
  <r>
    <x v="0"/>
    <x v="73"/>
    <x v="73"/>
    <x v="17"/>
    <x v="17"/>
    <x v="17"/>
    <x v="15"/>
    <x v="327"/>
    <x v="612"/>
    <x v="70"/>
    <x v="105"/>
    <x v="235"/>
    <x v="439"/>
    <x v="3"/>
  </r>
  <r>
    <x v="0"/>
    <x v="73"/>
    <x v="73"/>
    <x v="28"/>
    <x v="28"/>
    <x v="28"/>
    <x v="15"/>
    <x v="327"/>
    <x v="612"/>
    <x v="56"/>
    <x v="55"/>
    <x v="229"/>
    <x v="30"/>
    <x v="3"/>
  </r>
  <r>
    <x v="0"/>
    <x v="73"/>
    <x v="73"/>
    <x v="13"/>
    <x v="13"/>
    <x v="13"/>
    <x v="15"/>
    <x v="327"/>
    <x v="612"/>
    <x v="56"/>
    <x v="55"/>
    <x v="229"/>
    <x v="30"/>
    <x v="3"/>
  </r>
  <r>
    <x v="0"/>
    <x v="73"/>
    <x v="73"/>
    <x v="53"/>
    <x v="53"/>
    <x v="53"/>
    <x v="15"/>
    <x v="327"/>
    <x v="612"/>
    <x v="56"/>
    <x v="55"/>
    <x v="229"/>
    <x v="30"/>
    <x v="3"/>
  </r>
  <r>
    <x v="0"/>
    <x v="73"/>
    <x v="73"/>
    <x v="21"/>
    <x v="21"/>
    <x v="21"/>
    <x v="15"/>
    <x v="327"/>
    <x v="612"/>
    <x v="70"/>
    <x v="105"/>
    <x v="235"/>
    <x v="439"/>
    <x v="3"/>
  </r>
  <r>
    <x v="0"/>
    <x v="73"/>
    <x v="73"/>
    <x v="9"/>
    <x v="9"/>
    <x v="9"/>
    <x v="15"/>
    <x v="327"/>
    <x v="612"/>
    <x v="70"/>
    <x v="105"/>
    <x v="235"/>
    <x v="439"/>
    <x v="3"/>
  </r>
  <r>
    <x v="0"/>
    <x v="73"/>
    <x v="73"/>
    <x v="49"/>
    <x v="49"/>
    <x v="49"/>
    <x v="15"/>
    <x v="327"/>
    <x v="612"/>
    <x v="56"/>
    <x v="55"/>
    <x v="229"/>
    <x v="30"/>
    <x v="3"/>
  </r>
  <r>
    <x v="0"/>
    <x v="73"/>
    <x v="73"/>
    <x v="19"/>
    <x v="19"/>
    <x v="19"/>
    <x v="15"/>
    <x v="327"/>
    <x v="612"/>
    <x v="56"/>
    <x v="55"/>
    <x v="229"/>
    <x v="30"/>
    <x v="3"/>
  </r>
  <r>
    <x v="0"/>
    <x v="73"/>
    <x v="73"/>
    <x v="51"/>
    <x v="51"/>
    <x v="51"/>
    <x v="15"/>
    <x v="327"/>
    <x v="612"/>
    <x v="56"/>
    <x v="55"/>
    <x v="235"/>
    <x v="439"/>
    <x v="3"/>
  </r>
  <r>
    <x v="0"/>
    <x v="74"/>
    <x v="74"/>
    <x v="4"/>
    <x v="4"/>
    <x v="4"/>
    <x v="0"/>
    <x v="47"/>
    <x v="653"/>
    <x v="182"/>
    <x v="587"/>
    <x v="69"/>
    <x v="607"/>
    <x v="3"/>
  </r>
  <r>
    <x v="0"/>
    <x v="74"/>
    <x v="74"/>
    <x v="1"/>
    <x v="1"/>
    <x v="1"/>
    <x v="1"/>
    <x v="280"/>
    <x v="654"/>
    <x v="35"/>
    <x v="694"/>
    <x v="65"/>
    <x v="421"/>
    <x v="3"/>
  </r>
  <r>
    <x v="0"/>
    <x v="74"/>
    <x v="74"/>
    <x v="0"/>
    <x v="0"/>
    <x v="0"/>
    <x v="2"/>
    <x v="124"/>
    <x v="655"/>
    <x v="81"/>
    <x v="695"/>
    <x v="235"/>
    <x v="439"/>
    <x v="3"/>
  </r>
  <r>
    <x v="0"/>
    <x v="74"/>
    <x v="74"/>
    <x v="5"/>
    <x v="5"/>
    <x v="5"/>
    <x v="3"/>
    <x v="53"/>
    <x v="656"/>
    <x v="80"/>
    <x v="696"/>
    <x v="228"/>
    <x v="74"/>
    <x v="6"/>
  </r>
  <r>
    <x v="0"/>
    <x v="74"/>
    <x v="74"/>
    <x v="3"/>
    <x v="3"/>
    <x v="3"/>
    <x v="3"/>
    <x v="53"/>
    <x v="656"/>
    <x v="64"/>
    <x v="697"/>
    <x v="47"/>
    <x v="69"/>
    <x v="3"/>
  </r>
  <r>
    <x v="0"/>
    <x v="74"/>
    <x v="74"/>
    <x v="6"/>
    <x v="6"/>
    <x v="6"/>
    <x v="5"/>
    <x v="303"/>
    <x v="657"/>
    <x v="106"/>
    <x v="698"/>
    <x v="65"/>
    <x v="421"/>
    <x v="3"/>
  </r>
  <r>
    <x v="0"/>
    <x v="74"/>
    <x v="74"/>
    <x v="9"/>
    <x v="9"/>
    <x v="9"/>
    <x v="6"/>
    <x v="304"/>
    <x v="658"/>
    <x v="69"/>
    <x v="392"/>
    <x v="235"/>
    <x v="439"/>
    <x v="3"/>
  </r>
  <r>
    <x v="0"/>
    <x v="74"/>
    <x v="74"/>
    <x v="10"/>
    <x v="10"/>
    <x v="10"/>
    <x v="7"/>
    <x v="295"/>
    <x v="401"/>
    <x v="55"/>
    <x v="699"/>
    <x v="229"/>
    <x v="483"/>
    <x v="6"/>
  </r>
  <r>
    <x v="0"/>
    <x v="74"/>
    <x v="74"/>
    <x v="11"/>
    <x v="11"/>
    <x v="11"/>
    <x v="8"/>
    <x v="308"/>
    <x v="160"/>
    <x v="46"/>
    <x v="700"/>
    <x v="230"/>
    <x v="157"/>
    <x v="3"/>
  </r>
  <r>
    <x v="0"/>
    <x v="74"/>
    <x v="74"/>
    <x v="8"/>
    <x v="8"/>
    <x v="8"/>
    <x v="9"/>
    <x v="322"/>
    <x v="335"/>
    <x v="53"/>
    <x v="701"/>
    <x v="65"/>
    <x v="421"/>
    <x v="3"/>
  </r>
  <r>
    <x v="0"/>
    <x v="74"/>
    <x v="74"/>
    <x v="2"/>
    <x v="2"/>
    <x v="2"/>
    <x v="9"/>
    <x v="322"/>
    <x v="335"/>
    <x v="53"/>
    <x v="701"/>
    <x v="225"/>
    <x v="608"/>
    <x v="3"/>
  </r>
  <r>
    <x v="0"/>
    <x v="74"/>
    <x v="74"/>
    <x v="18"/>
    <x v="18"/>
    <x v="18"/>
    <x v="11"/>
    <x v="320"/>
    <x v="31"/>
    <x v="56"/>
    <x v="55"/>
    <x v="210"/>
    <x v="71"/>
    <x v="3"/>
  </r>
  <r>
    <x v="0"/>
    <x v="74"/>
    <x v="74"/>
    <x v="25"/>
    <x v="25"/>
    <x v="25"/>
    <x v="12"/>
    <x v="310"/>
    <x v="184"/>
    <x v="46"/>
    <x v="700"/>
    <x v="235"/>
    <x v="439"/>
    <x v="3"/>
  </r>
  <r>
    <x v="0"/>
    <x v="74"/>
    <x v="74"/>
    <x v="17"/>
    <x v="17"/>
    <x v="17"/>
    <x v="13"/>
    <x v="321"/>
    <x v="32"/>
    <x v="79"/>
    <x v="702"/>
    <x v="230"/>
    <x v="157"/>
    <x v="3"/>
  </r>
  <r>
    <x v="0"/>
    <x v="74"/>
    <x v="74"/>
    <x v="13"/>
    <x v="13"/>
    <x v="13"/>
    <x v="13"/>
    <x v="321"/>
    <x v="32"/>
    <x v="82"/>
    <x v="508"/>
    <x v="225"/>
    <x v="608"/>
    <x v="3"/>
  </r>
  <r>
    <x v="0"/>
    <x v="74"/>
    <x v="74"/>
    <x v="34"/>
    <x v="34"/>
    <x v="34"/>
    <x v="15"/>
    <x v="311"/>
    <x v="119"/>
    <x v="53"/>
    <x v="701"/>
    <x v="228"/>
    <x v="74"/>
    <x v="3"/>
  </r>
  <r>
    <x v="0"/>
    <x v="74"/>
    <x v="74"/>
    <x v="12"/>
    <x v="12"/>
    <x v="12"/>
    <x v="16"/>
    <x v="324"/>
    <x v="659"/>
    <x v="82"/>
    <x v="508"/>
    <x v="228"/>
    <x v="74"/>
    <x v="3"/>
  </r>
  <r>
    <x v="0"/>
    <x v="74"/>
    <x v="74"/>
    <x v="21"/>
    <x v="21"/>
    <x v="21"/>
    <x v="16"/>
    <x v="324"/>
    <x v="659"/>
    <x v="82"/>
    <x v="508"/>
    <x v="228"/>
    <x v="74"/>
    <x v="3"/>
  </r>
  <r>
    <x v="0"/>
    <x v="74"/>
    <x v="74"/>
    <x v="20"/>
    <x v="20"/>
    <x v="20"/>
    <x v="16"/>
    <x v="324"/>
    <x v="659"/>
    <x v="82"/>
    <x v="508"/>
    <x v="229"/>
    <x v="483"/>
    <x v="3"/>
  </r>
  <r>
    <x v="0"/>
    <x v="74"/>
    <x v="74"/>
    <x v="44"/>
    <x v="44"/>
    <x v="44"/>
    <x v="19"/>
    <x v="325"/>
    <x v="591"/>
    <x v="82"/>
    <x v="508"/>
    <x v="229"/>
    <x v="483"/>
    <x v="3"/>
  </r>
  <r>
    <x v="0"/>
    <x v="74"/>
    <x v="74"/>
    <x v="39"/>
    <x v="39"/>
    <x v="39"/>
    <x v="19"/>
    <x v="325"/>
    <x v="591"/>
    <x v="82"/>
    <x v="508"/>
    <x v="229"/>
    <x v="483"/>
    <x v="3"/>
  </r>
  <r>
    <x v="0"/>
    <x v="74"/>
    <x v="74"/>
    <x v="26"/>
    <x v="26"/>
    <x v="26"/>
    <x v="19"/>
    <x v="325"/>
    <x v="591"/>
    <x v="70"/>
    <x v="481"/>
    <x v="228"/>
    <x v="74"/>
    <x v="3"/>
  </r>
  <r>
    <x v="0"/>
    <x v="74"/>
    <x v="74"/>
    <x v="16"/>
    <x v="16"/>
    <x v="16"/>
    <x v="19"/>
    <x v="325"/>
    <x v="591"/>
    <x v="56"/>
    <x v="55"/>
    <x v="222"/>
    <x v="418"/>
    <x v="3"/>
  </r>
  <r>
    <x v="0"/>
    <x v="74"/>
    <x v="74"/>
    <x v="42"/>
    <x v="42"/>
    <x v="42"/>
    <x v="19"/>
    <x v="325"/>
    <x v="591"/>
    <x v="70"/>
    <x v="481"/>
    <x v="228"/>
    <x v="74"/>
    <x v="3"/>
  </r>
  <r>
    <x v="0"/>
    <x v="74"/>
    <x v="74"/>
    <x v="29"/>
    <x v="29"/>
    <x v="29"/>
    <x v="19"/>
    <x v="325"/>
    <x v="591"/>
    <x v="70"/>
    <x v="481"/>
    <x v="229"/>
    <x v="483"/>
    <x v="3"/>
  </r>
  <r>
    <x v="0"/>
    <x v="74"/>
    <x v="74"/>
    <x v="49"/>
    <x v="49"/>
    <x v="49"/>
    <x v="19"/>
    <x v="325"/>
    <x v="591"/>
    <x v="70"/>
    <x v="481"/>
    <x v="235"/>
    <x v="439"/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63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0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0"/>
  </r>
  <r>
    <x v="0"/>
    <x v="0"/>
    <x v="0"/>
    <x v="4"/>
    <x v="4"/>
    <x v="4"/>
    <x v="4"/>
    <x v="4"/>
    <x v="4"/>
    <x v="4"/>
    <x v="4"/>
    <x v="4"/>
    <x v="4"/>
    <x v="1"/>
  </r>
  <r>
    <x v="0"/>
    <x v="0"/>
    <x v="0"/>
    <x v="5"/>
    <x v="5"/>
    <x v="5"/>
    <x v="5"/>
    <x v="5"/>
    <x v="5"/>
    <x v="5"/>
    <x v="5"/>
    <x v="5"/>
    <x v="5"/>
    <x v="0"/>
  </r>
  <r>
    <x v="0"/>
    <x v="0"/>
    <x v="0"/>
    <x v="6"/>
    <x v="6"/>
    <x v="6"/>
    <x v="6"/>
    <x v="6"/>
    <x v="6"/>
    <x v="6"/>
    <x v="6"/>
    <x v="6"/>
    <x v="6"/>
    <x v="1"/>
  </r>
  <r>
    <x v="0"/>
    <x v="0"/>
    <x v="0"/>
    <x v="7"/>
    <x v="7"/>
    <x v="7"/>
    <x v="7"/>
    <x v="7"/>
    <x v="7"/>
    <x v="7"/>
    <x v="7"/>
    <x v="7"/>
    <x v="7"/>
    <x v="0"/>
  </r>
  <r>
    <x v="0"/>
    <x v="0"/>
    <x v="0"/>
    <x v="8"/>
    <x v="8"/>
    <x v="8"/>
    <x v="8"/>
    <x v="8"/>
    <x v="8"/>
    <x v="8"/>
    <x v="8"/>
    <x v="8"/>
    <x v="8"/>
    <x v="1"/>
  </r>
  <r>
    <x v="0"/>
    <x v="0"/>
    <x v="0"/>
    <x v="9"/>
    <x v="9"/>
    <x v="9"/>
    <x v="9"/>
    <x v="9"/>
    <x v="9"/>
    <x v="9"/>
    <x v="9"/>
    <x v="9"/>
    <x v="9"/>
    <x v="2"/>
  </r>
  <r>
    <x v="0"/>
    <x v="0"/>
    <x v="0"/>
    <x v="10"/>
    <x v="10"/>
    <x v="10"/>
    <x v="10"/>
    <x v="10"/>
    <x v="10"/>
    <x v="10"/>
    <x v="10"/>
    <x v="10"/>
    <x v="10"/>
    <x v="0"/>
  </r>
  <r>
    <x v="0"/>
    <x v="0"/>
    <x v="0"/>
    <x v="11"/>
    <x v="11"/>
    <x v="11"/>
    <x v="11"/>
    <x v="11"/>
    <x v="10"/>
    <x v="11"/>
    <x v="11"/>
    <x v="11"/>
    <x v="11"/>
    <x v="2"/>
  </r>
  <r>
    <x v="0"/>
    <x v="0"/>
    <x v="0"/>
    <x v="12"/>
    <x v="12"/>
    <x v="12"/>
    <x v="12"/>
    <x v="12"/>
    <x v="10"/>
    <x v="12"/>
    <x v="12"/>
    <x v="12"/>
    <x v="12"/>
    <x v="3"/>
  </r>
  <r>
    <x v="0"/>
    <x v="0"/>
    <x v="0"/>
    <x v="13"/>
    <x v="13"/>
    <x v="13"/>
    <x v="13"/>
    <x v="13"/>
    <x v="11"/>
    <x v="13"/>
    <x v="13"/>
    <x v="13"/>
    <x v="13"/>
    <x v="4"/>
  </r>
  <r>
    <x v="0"/>
    <x v="0"/>
    <x v="0"/>
    <x v="14"/>
    <x v="14"/>
    <x v="14"/>
    <x v="14"/>
    <x v="14"/>
    <x v="12"/>
    <x v="14"/>
    <x v="14"/>
    <x v="14"/>
    <x v="14"/>
    <x v="0"/>
  </r>
  <r>
    <x v="0"/>
    <x v="0"/>
    <x v="0"/>
    <x v="15"/>
    <x v="15"/>
    <x v="15"/>
    <x v="15"/>
    <x v="15"/>
    <x v="13"/>
    <x v="15"/>
    <x v="15"/>
    <x v="15"/>
    <x v="15"/>
    <x v="3"/>
  </r>
  <r>
    <x v="0"/>
    <x v="0"/>
    <x v="0"/>
    <x v="16"/>
    <x v="16"/>
    <x v="16"/>
    <x v="16"/>
    <x v="16"/>
    <x v="14"/>
    <x v="16"/>
    <x v="16"/>
    <x v="16"/>
    <x v="16"/>
    <x v="0"/>
  </r>
  <r>
    <x v="0"/>
    <x v="0"/>
    <x v="0"/>
    <x v="17"/>
    <x v="17"/>
    <x v="17"/>
    <x v="17"/>
    <x v="17"/>
    <x v="14"/>
    <x v="17"/>
    <x v="17"/>
    <x v="17"/>
    <x v="17"/>
    <x v="0"/>
  </r>
  <r>
    <x v="0"/>
    <x v="0"/>
    <x v="0"/>
    <x v="18"/>
    <x v="18"/>
    <x v="18"/>
    <x v="18"/>
    <x v="18"/>
    <x v="15"/>
    <x v="18"/>
    <x v="18"/>
    <x v="18"/>
    <x v="18"/>
    <x v="1"/>
  </r>
  <r>
    <x v="0"/>
    <x v="0"/>
    <x v="0"/>
    <x v="19"/>
    <x v="19"/>
    <x v="19"/>
    <x v="19"/>
    <x v="19"/>
    <x v="16"/>
    <x v="19"/>
    <x v="19"/>
    <x v="19"/>
    <x v="19"/>
    <x v="0"/>
  </r>
  <r>
    <x v="0"/>
    <x v="1"/>
    <x v="1"/>
    <x v="0"/>
    <x v="0"/>
    <x v="0"/>
    <x v="0"/>
    <x v="20"/>
    <x v="17"/>
    <x v="20"/>
    <x v="20"/>
    <x v="20"/>
    <x v="20"/>
    <x v="0"/>
  </r>
  <r>
    <x v="0"/>
    <x v="1"/>
    <x v="1"/>
    <x v="1"/>
    <x v="1"/>
    <x v="1"/>
    <x v="1"/>
    <x v="21"/>
    <x v="18"/>
    <x v="21"/>
    <x v="21"/>
    <x v="21"/>
    <x v="21"/>
    <x v="0"/>
  </r>
  <r>
    <x v="0"/>
    <x v="1"/>
    <x v="1"/>
    <x v="3"/>
    <x v="3"/>
    <x v="3"/>
    <x v="2"/>
    <x v="22"/>
    <x v="19"/>
    <x v="22"/>
    <x v="22"/>
    <x v="22"/>
    <x v="22"/>
    <x v="0"/>
  </r>
  <r>
    <x v="0"/>
    <x v="1"/>
    <x v="1"/>
    <x v="4"/>
    <x v="4"/>
    <x v="4"/>
    <x v="3"/>
    <x v="23"/>
    <x v="20"/>
    <x v="23"/>
    <x v="23"/>
    <x v="23"/>
    <x v="23"/>
    <x v="0"/>
  </r>
  <r>
    <x v="0"/>
    <x v="1"/>
    <x v="1"/>
    <x v="2"/>
    <x v="2"/>
    <x v="2"/>
    <x v="4"/>
    <x v="24"/>
    <x v="21"/>
    <x v="24"/>
    <x v="24"/>
    <x v="24"/>
    <x v="24"/>
    <x v="0"/>
  </r>
  <r>
    <x v="0"/>
    <x v="1"/>
    <x v="1"/>
    <x v="5"/>
    <x v="5"/>
    <x v="5"/>
    <x v="5"/>
    <x v="25"/>
    <x v="5"/>
    <x v="25"/>
    <x v="25"/>
    <x v="25"/>
    <x v="25"/>
    <x v="0"/>
  </r>
  <r>
    <x v="0"/>
    <x v="1"/>
    <x v="1"/>
    <x v="8"/>
    <x v="8"/>
    <x v="8"/>
    <x v="6"/>
    <x v="26"/>
    <x v="22"/>
    <x v="26"/>
    <x v="26"/>
    <x v="26"/>
    <x v="26"/>
    <x v="0"/>
  </r>
  <r>
    <x v="0"/>
    <x v="1"/>
    <x v="1"/>
    <x v="6"/>
    <x v="6"/>
    <x v="6"/>
    <x v="7"/>
    <x v="27"/>
    <x v="23"/>
    <x v="27"/>
    <x v="27"/>
    <x v="27"/>
    <x v="27"/>
    <x v="0"/>
  </r>
  <r>
    <x v="0"/>
    <x v="1"/>
    <x v="1"/>
    <x v="11"/>
    <x v="11"/>
    <x v="11"/>
    <x v="8"/>
    <x v="28"/>
    <x v="24"/>
    <x v="28"/>
    <x v="28"/>
    <x v="28"/>
    <x v="28"/>
    <x v="0"/>
  </r>
  <r>
    <x v="0"/>
    <x v="1"/>
    <x v="1"/>
    <x v="12"/>
    <x v="12"/>
    <x v="12"/>
    <x v="9"/>
    <x v="29"/>
    <x v="25"/>
    <x v="29"/>
    <x v="29"/>
    <x v="29"/>
    <x v="29"/>
    <x v="0"/>
  </r>
  <r>
    <x v="0"/>
    <x v="1"/>
    <x v="1"/>
    <x v="7"/>
    <x v="7"/>
    <x v="7"/>
    <x v="10"/>
    <x v="30"/>
    <x v="26"/>
    <x v="30"/>
    <x v="30"/>
    <x v="30"/>
    <x v="30"/>
    <x v="0"/>
  </r>
  <r>
    <x v="0"/>
    <x v="1"/>
    <x v="1"/>
    <x v="20"/>
    <x v="20"/>
    <x v="20"/>
    <x v="11"/>
    <x v="31"/>
    <x v="27"/>
    <x v="31"/>
    <x v="31"/>
    <x v="31"/>
    <x v="31"/>
    <x v="0"/>
  </r>
  <r>
    <x v="0"/>
    <x v="1"/>
    <x v="1"/>
    <x v="13"/>
    <x v="13"/>
    <x v="13"/>
    <x v="12"/>
    <x v="32"/>
    <x v="28"/>
    <x v="32"/>
    <x v="17"/>
    <x v="32"/>
    <x v="32"/>
    <x v="0"/>
  </r>
  <r>
    <x v="0"/>
    <x v="1"/>
    <x v="1"/>
    <x v="9"/>
    <x v="9"/>
    <x v="9"/>
    <x v="13"/>
    <x v="33"/>
    <x v="29"/>
    <x v="33"/>
    <x v="32"/>
    <x v="33"/>
    <x v="33"/>
    <x v="1"/>
  </r>
  <r>
    <x v="0"/>
    <x v="1"/>
    <x v="1"/>
    <x v="14"/>
    <x v="14"/>
    <x v="14"/>
    <x v="14"/>
    <x v="34"/>
    <x v="30"/>
    <x v="34"/>
    <x v="33"/>
    <x v="34"/>
    <x v="34"/>
    <x v="0"/>
  </r>
  <r>
    <x v="0"/>
    <x v="1"/>
    <x v="1"/>
    <x v="17"/>
    <x v="17"/>
    <x v="17"/>
    <x v="15"/>
    <x v="35"/>
    <x v="11"/>
    <x v="35"/>
    <x v="34"/>
    <x v="35"/>
    <x v="35"/>
    <x v="0"/>
  </r>
  <r>
    <x v="0"/>
    <x v="1"/>
    <x v="1"/>
    <x v="10"/>
    <x v="10"/>
    <x v="10"/>
    <x v="16"/>
    <x v="36"/>
    <x v="31"/>
    <x v="36"/>
    <x v="35"/>
    <x v="36"/>
    <x v="36"/>
    <x v="0"/>
  </r>
  <r>
    <x v="0"/>
    <x v="1"/>
    <x v="1"/>
    <x v="19"/>
    <x v="19"/>
    <x v="19"/>
    <x v="17"/>
    <x v="37"/>
    <x v="32"/>
    <x v="37"/>
    <x v="36"/>
    <x v="37"/>
    <x v="37"/>
    <x v="0"/>
  </r>
  <r>
    <x v="0"/>
    <x v="1"/>
    <x v="1"/>
    <x v="16"/>
    <x v="16"/>
    <x v="16"/>
    <x v="18"/>
    <x v="38"/>
    <x v="33"/>
    <x v="38"/>
    <x v="13"/>
    <x v="38"/>
    <x v="38"/>
    <x v="0"/>
  </r>
  <r>
    <x v="0"/>
    <x v="1"/>
    <x v="1"/>
    <x v="21"/>
    <x v="21"/>
    <x v="21"/>
    <x v="19"/>
    <x v="39"/>
    <x v="34"/>
    <x v="39"/>
    <x v="14"/>
    <x v="39"/>
    <x v="39"/>
    <x v="0"/>
  </r>
  <r>
    <x v="0"/>
    <x v="2"/>
    <x v="2"/>
    <x v="0"/>
    <x v="0"/>
    <x v="0"/>
    <x v="0"/>
    <x v="40"/>
    <x v="35"/>
    <x v="40"/>
    <x v="37"/>
    <x v="40"/>
    <x v="40"/>
    <x v="0"/>
  </r>
  <r>
    <x v="0"/>
    <x v="2"/>
    <x v="2"/>
    <x v="1"/>
    <x v="1"/>
    <x v="1"/>
    <x v="1"/>
    <x v="41"/>
    <x v="36"/>
    <x v="41"/>
    <x v="38"/>
    <x v="41"/>
    <x v="41"/>
    <x v="0"/>
  </r>
  <r>
    <x v="0"/>
    <x v="2"/>
    <x v="2"/>
    <x v="3"/>
    <x v="3"/>
    <x v="3"/>
    <x v="2"/>
    <x v="42"/>
    <x v="37"/>
    <x v="42"/>
    <x v="39"/>
    <x v="42"/>
    <x v="42"/>
    <x v="0"/>
  </r>
  <r>
    <x v="0"/>
    <x v="2"/>
    <x v="2"/>
    <x v="11"/>
    <x v="11"/>
    <x v="11"/>
    <x v="3"/>
    <x v="43"/>
    <x v="38"/>
    <x v="43"/>
    <x v="40"/>
    <x v="43"/>
    <x v="43"/>
    <x v="0"/>
  </r>
  <r>
    <x v="0"/>
    <x v="2"/>
    <x v="2"/>
    <x v="4"/>
    <x v="4"/>
    <x v="4"/>
    <x v="3"/>
    <x v="43"/>
    <x v="38"/>
    <x v="30"/>
    <x v="41"/>
    <x v="44"/>
    <x v="44"/>
    <x v="0"/>
  </r>
  <r>
    <x v="0"/>
    <x v="2"/>
    <x v="2"/>
    <x v="20"/>
    <x v="20"/>
    <x v="20"/>
    <x v="5"/>
    <x v="44"/>
    <x v="39"/>
    <x v="44"/>
    <x v="42"/>
    <x v="45"/>
    <x v="45"/>
    <x v="0"/>
  </r>
  <r>
    <x v="0"/>
    <x v="2"/>
    <x v="2"/>
    <x v="2"/>
    <x v="2"/>
    <x v="2"/>
    <x v="6"/>
    <x v="45"/>
    <x v="40"/>
    <x v="45"/>
    <x v="43"/>
    <x v="46"/>
    <x v="46"/>
    <x v="0"/>
  </r>
  <r>
    <x v="0"/>
    <x v="2"/>
    <x v="2"/>
    <x v="5"/>
    <x v="5"/>
    <x v="5"/>
    <x v="7"/>
    <x v="46"/>
    <x v="41"/>
    <x v="46"/>
    <x v="6"/>
    <x v="45"/>
    <x v="45"/>
    <x v="0"/>
  </r>
  <r>
    <x v="0"/>
    <x v="2"/>
    <x v="2"/>
    <x v="7"/>
    <x v="7"/>
    <x v="7"/>
    <x v="8"/>
    <x v="47"/>
    <x v="42"/>
    <x v="47"/>
    <x v="44"/>
    <x v="47"/>
    <x v="47"/>
    <x v="0"/>
  </r>
  <r>
    <x v="0"/>
    <x v="2"/>
    <x v="2"/>
    <x v="12"/>
    <x v="12"/>
    <x v="12"/>
    <x v="9"/>
    <x v="48"/>
    <x v="6"/>
    <x v="48"/>
    <x v="45"/>
    <x v="48"/>
    <x v="0"/>
    <x v="0"/>
  </r>
  <r>
    <x v="0"/>
    <x v="2"/>
    <x v="2"/>
    <x v="17"/>
    <x v="17"/>
    <x v="17"/>
    <x v="10"/>
    <x v="49"/>
    <x v="26"/>
    <x v="49"/>
    <x v="46"/>
    <x v="49"/>
    <x v="48"/>
    <x v="0"/>
  </r>
  <r>
    <x v="0"/>
    <x v="2"/>
    <x v="2"/>
    <x v="8"/>
    <x v="8"/>
    <x v="8"/>
    <x v="11"/>
    <x v="50"/>
    <x v="43"/>
    <x v="50"/>
    <x v="47"/>
    <x v="50"/>
    <x v="49"/>
    <x v="0"/>
  </r>
  <r>
    <x v="0"/>
    <x v="2"/>
    <x v="2"/>
    <x v="22"/>
    <x v="22"/>
    <x v="22"/>
    <x v="11"/>
    <x v="50"/>
    <x v="43"/>
    <x v="48"/>
    <x v="45"/>
    <x v="51"/>
    <x v="50"/>
    <x v="0"/>
  </r>
  <r>
    <x v="0"/>
    <x v="2"/>
    <x v="2"/>
    <x v="6"/>
    <x v="6"/>
    <x v="6"/>
    <x v="11"/>
    <x v="50"/>
    <x v="43"/>
    <x v="51"/>
    <x v="48"/>
    <x v="52"/>
    <x v="51"/>
    <x v="0"/>
  </r>
  <r>
    <x v="0"/>
    <x v="2"/>
    <x v="2"/>
    <x v="23"/>
    <x v="23"/>
    <x v="23"/>
    <x v="14"/>
    <x v="51"/>
    <x v="44"/>
    <x v="52"/>
    <x v="49"/>
    <x v="53"/>
    <x v="29"/>
    <x v="0"/>
  </r>
  <r>
    <x v="0"/>
    <x v="2"/>
    <x v="2"/>
    <x v="10"/>
    <x v="10"/>
    <x v="10"/>
    <x v="15"/>
    <x v="52"/>
    <x v="30"/>
    <x v="53"/>
    <x v="50"/>
    <x v="54"/>
    <x v="52"/>
    <x v="0"/>
  </r>
  <r>
    <x v="0"/>
    <x v="2"/>
    <x v="2"/>
    <x v="24"/>
    <x v="24"/>
    <x v="24"/>
    <x v="16"/>
    <x v="53"/>
    <x v="45"/>
    <x v="54"/>
    <x v="51"/>
    <x v="55"/>
    <x v="18"/>
    <x v="0"/>
  </r>
  <r>
    <x v="0"/>
    <x v="2"/>
    <x v="2"/>
    <x v="13"/>
    <x v="13"/>
    <x v="13"/>
    <x v="17"/>
    <x v="54"/>
    <x v="46"/>
    <x v="55"/>
    <x v="52"/>
    <x v="56"/>
    <x v="53"/>
    <x v="0"/>
  </r>
  <r>
    <x v="0"/>
    <x v="2"/>
    <x v="2"/>
    <x v="25"/>
    <x v="25"/>
    <x v="25"/>
    <x v="17"/>
    <x v="54"/>
    <x v="46"/>
    <x v="54"/>
    <x v="51"/>
    <x v="51"/>
    <x v="50"/>
    <x v="0"/>
  </r>
  <r>
    <x v="0"/>
    <x v="2"/>
    <x v="2"/>
    <x v="19"/>
    <x v="19"/>
    <x v="19"/>
    <x v="19"/>
    <x v="55"/>
    <x v="34"/>
    <x v="53"/>
    <x v="50"/>
    <x v="57"/>
    <x v="54"/>
    <x v="0"/>
  </r>
  <r>
    <x v="0"/>
    <x v="2"/>
    <x v="2"/>
    <x v="9"/>
    <x v="9"/>
    <x v="9"/>
    <x v="19"/>
    <x v="55"/>
    <x v="34"/>
    <x v="56"/>
    <x v="53"/>
    <x v="58"/>
    <x v="55"/>
    <x v="0"/>
  </r>
  <r>
    <x v="0"/>
    <x v="3"/>
    <x v="3"/>
    <x v="0"/>
    <x v="0"/>
    <x v="0"/>
    <x v="0"/>
    <x v="56"/>
    <x v="47"/>
    <x v="57"/>
    <x v="54"/>
    <x v="59"/>
    <x v="5"/>
    <x v="0"/>
  </r>
  <r>
    <x v="0"/>
    <x v="3"/>
    <x v="3"/>
    <x v="1"/>
    <x v="1"/>
    <x v="1"/>
    <x v="1"/>
    <x v="57"/>
    <x v="48"/>
    <x v="43"/>
    <x v="55"/>
    <x v="49"/>
    <x v="56"/>
    <x v="0"/>
  </r>
  <r>
    <x v="0"/>
    <x v="3"/>
    <x v="3"/>
    <x v="4"/>
    <x v="4"/>
    <x v="4"/>
    <x v="2"/>
    <x v="47"/>
    <x v="49"/>
    <x v="58"/>
    <x v="56"/>
    <x v="60"/>
    <x v="57"/>
    <x v="0"/>
  </r>
  <r>
    <x v="0"/>
    <x v="3"/>
    <x v="3"/>
    <x v="7"/>
    <x v="7"/>
    <x v="7"/>
    <x v="3"/>
    <x v="58"/>
    <x v="50"/>
    <x v="59"/>
    <x v="57"/>
    <x v="61"/>
    <x v="1"/>
    <x v="0"/>
  </r>
  <r>
    <x v="0"/>
    <x v="3"/>
    <x v="3"/>
    <x v="3"/>
    <x v="3"/>
    <x v="3"/>
    <x v="4"/>
    <x v="49"/>
    <x v="51"/>
    <x v="60"/>
    <x v="58"/>
    <x v="42"/>
    <x v="42"/>
    <x v="0"/>
  </r>
  <r>
    <x v="0"/>
    <x v="3"/>
    <x v="3"/>
    <x v="6"/>
    <x v="6"/>
    <x v="6"/>
    <x v="5"/>
    <x v="50"/>
    <x v="52"/>
    <x v="61"/>
    <x v="59"/>
    <x v="44"/>
    <x v="58"/>
    <x v="0"/>
  </r>
  <r>
    <x v="0"/>
    <x v="3"/>
    <x v="3"/>
    <x v="26"/>
    <x v="26"/>
    <x v="26"/>
    <x v="6"/>
    <x v="59"/>
    <x v="53"/>
    <x v="47"/>
    <x v="60"/>
    <x v="62"/>
    <x v="59"/>
    <x v="0"/>
  </r>
  <r>
    <x v="0"/>
    <x v="3"/>
    <x v="3"/>
    <x v="8"/>
    <x v="8"/>
    <x v="8"/>
    <x v="7"/>
    <x v="60"/>
    <x v="54"/>
    <x v="62"/>
    <x v="61"/>
    <x v="63"/>
    <x v="60"/>
    <x v="0"/>
  </r>
  <r>
    <x v="0"/>
    <x v="3"/>
    <x v="3"/>
    <x v="12"/>
    <x v="12"/>
    <x v="12"/>
    <x v="8"/>
    <x v="52"/>
    <x v="55"/>
    <x v="63"/>
    <x v="62"/>
    <x v="59"/>
    <x v="5"/>
    <x v="0"/>
  </r>
  <r>
    <x v="0"/>
    <x v="3"/>
    <x v="3"/>
    <x v="11"/>
    <x v="11"/>
    <x v="11"/>
    <x v="9"/>
    <x v="61"/>
    <x v="56"/>
    <x v="56"/>
    <x v="63"/>
    <x v="64"/>
    <x v="61"/>
    <x v="0"/>
  </r>
  <r>
    <x v="0"/>
    <x v="3"/>
    <x v="3"/>
    <x v="2"/>
    <x v="2"/>
    <x v="2"/>
    <x v="10"/>
    <x v="62"/>
    <x v="57"/>
    <x v="64"/>
    <x v="64"/>
    <x v="44"/>
    <x v="58"/>
    <x v="0"/>
  </r>
  <r>
    <x v="0"/>
    <x v="3"/>
    <x v="3"/>
    <x v="9"/>
    <x v="9"/>
    <x v="9"/>
    <x v="10"/>
    <x v="62"/>
    <x v="57"/>
    <x v="65"/>
    <x v="65"/>
    <x v="46"/>
    <x v="62"/>
    <x v="1"/>
  </r>
  <r>
    <x v="0"/>
    <x v="3"/>
    <x v="3"/>
    <x v="10"/>
    <x v="10"/>
    <x v="10"/>
    <x v="12"/>
    <x v="55"/>
    <x v="58"/>
    <x v="66"/>
    <x v="19"/>
    <x v="56"/>
    <x v="63"/>
    <x v="0"/>
  </r>
  <r>
    <x v="0"/>
    <x v="3"/>
    <x v="3"/>
    <x v="5"/>
    <x v="5"/>
    <x v="5"/>
    <x v="13"/>
    <x v="63"/>
    <x v="59"/>
    <x v="56"/>
    <x v="63"/>
    <x v="51"/>
    <x v="64"/>
    <x v="0"/>
  </r>
  <r>
    <x v="0"/>
    <x v="3"/>
    <x v="3"/>
    <x v="14"/>
    <x v="14"/>
    <x v="14"/>
    <x v="14"/>
    <x v="64"/>
    <x v="15"/>
    <x v="67"/>
    <x v="66"/>
    <x v="65"/>
    <x v="65"/>
    <x v="0"/>
  </r>
  <r>
    <x v="0"/>
    <x v="3"/>
    <x v="3"/>
    <x v="21"/>
    <x v="21"/>
    <x v="21"/>
    <x v="14"/>
    <x v="64"/>
    <x v="15"/>
    <x v="47"/>
    <x v="60"/>
    <x v="54"/>
    <x v="66"/>
    <x v="0"/>
  </r>
  <r>
    <x v="0"/>
    <x v="3"/>
    <x v="3"/>
    <x v="13"/>
    <x v="13"/>
    <x v="13"/>
    <x v="14"/>
    <x v="64"/>
    <x v="15"/>
    <x v="68"/>
    <x v="67"/>
    <x v="23"/>
    <x v="67"/>
    <x v="0"/>
  </r>
  <r>
    <x v="0"/>
    <x v="3"/>
    <x v="3"/>
    <x v="23"/>
    <x v="23"/>
    <x v="23"/>
    <x v="17"/>
    <x v="65"/>
    <x v="60"/>
    <x v="62"/>
    <x v="61"/>
    <x v="59"/>
    <x v="5"/>
    <x v="0"/>
  </r>
  <r>
    <x v="0"/>
    <x v="3"/>
    <x v="3"/>
    <x v="20"/>
    <x v="20"/>
    <x v="20"/>
    <x v="18"/>
    <x v="66"/>
    <x v="61"/>
    <x v="69"/>
    <x v="18"/>
    <x v="51"/>
    <x v="64"/>
    <x v="0"/>
  </r>
  <r>
    <x v="0"/>
    <x v="3"/>
    <x v="3"/>
    <x v="19"/>
    <x v="19"/>
    <x v="19"/>
    <x v="19"/>
    <x v="67"/>
    <x v="62"/>
    <x v="66"/>
    <x v="19"/>
    <x v="57"/>
    <x v="68"/>
    <x v="0"/>
  </r>
  <r>
    <x v="0"/>
    <x v="4"/>
    <x v="4"/>
    <x v="1"/>
    <x v="1"/>
    <x v="1"/>
    <x v="0"/>
    <x v="68"/>
    <x v="63"/>
    <x v="70"/>
    <x v="68"/>
    <x v="66"/>
    <x v="69"/>
    <x v="0"/>
  </r>
  <r>
    <x v="0"/>
    <x v="4"/>
    <x v="4"/>
    <x v="20"/>
    <x v="20"/>
    <x v="20"/>
    <x v="1"/>
    <x v="69"/>
    <x v="64"/>
    <x v="71"/>
    <x v="69"/>
    <x v="45"/>
    <x v="70"/>
    <x v="0"/>
  </r>
  <r>
    <x v="0"/>
    <x v="4"/>
    <x v="4"/>
    <x v="0"/>
    <x v="0"/>
    <x v="0"/>
    <x v="2"/>
    <x v="70"/>
    <x v="65"/>
    <x v="71"/>
    <x v="69"/>
    <x v="46"/>
    <x v="71"/>
    <x v="0"/>
  </r>
  <r>
    <x v="0"/>
    <x v="4"/>
    <x v="4"/>
    <x v="4"/>
    <x v="4"/>
    <x v="4"/>
    <x v="3"/>
    <x v="71"/>
    <x v="66"/>
    <x v="72"/>
    <x v="70"/>
    <x v="44"/>
    <x v="72"/>
    <x v="0"/>
  </r>
  <r>
    <x v="0"/>
    <x v="4"/>
    <x v="4"/>
    <x v="3"/>
    <x v="3"/>
    <x v="3"/>
    <x v="4"/>
    <x v="49"/>
    <x v="67"/>
    <x v="60"/>
    <x v="71"/>
    <x v="42"/>
    <x v="42"/>
    <x v="0"/>
  </r>
  <r>
    <x v="0"/>
    <x v="4"/>
    <x v="4"/>
    <x v="8"/>
    <x v="8"/>
    <x v="8"/>
    <x v="5"/>
    <x v="52"/>
    <x v="68"/>
    <x v="62"/>
    <x v="72"/>
    <x v="43"/>
    <x v="73"/>
    <x v="0"/>
  </r>
  <r>
    <x v="0"/>
    <x v="4"/>
    <x v="4"/>
    <x v="2"/>
    <x v="2"/>
    <x v="2"/>
    <x v="6"/>
    <x v="61"/>
    <x v="69"/>
    <x v="64"/>
    <x v="27"/>
    <x v="51"/>
    <x v="74"/>
    <x v="0"/>
  </r>
  <r>
    <x v="0"/>
    <x v="4"/>
    <x v="4"/>
    <x v="6"/>
    <x v="6"/>
    <x v="6"/>
    <x v="7"/>
    <x v="53"/>
    <x v="70"/>
    <x v="65"/>
    <x v="73"/>
    <x v="58"/>
    <x v="75"/>
    <x v="0"/>
  </r>
  <r>
    <x v="0"/>
    <x v="4"/>
    <x v="4"/>
    <x v="11"/>
    <x v="11"/>
    <x v="11"/>
    <x v="8"/>
    <x v="72"/>
    <x v="25"/>
    <x v="52"/>
    <x v="62"/>
    <x v="55"/>
    <x v="76"/>
    <x v="0"/>
  </r>
  <r>
    <x v="0"/>
    <x v="4"/>
    <x v="4"/>
    <x v="12"/>
    <x v="12"/>
    <x v="12"/>
    <x v="9"/>
    <x v="63"/>
    <x v="71"/>
    <x v="73"/>
    <x v="74"/>
    <x v="57"/>
    <x v="77"/>
    <x v="0"/>
  </r>
  <r>
    <x v="0"/>
    <x v="4"/>
    <x v="4"/>
    <x v="9"/>
    <x v="9"/>
    <x v="9"/>
    <x v="10"/>
    <x v="73"/>
    <x v="72"/>
    <x v="74"/>
    <x v="75"/>
    <x v="51"/>
    <x v="74"/>
    <x v="0"/>
  </r>
  <r>
    <x v="0"/>
    <x v="4"/>
    <x v="4"/>
    <x v="5"/>
    <x v="5"/>
    <x v="5"/>
    <x v="11"/>
    <x v="74"/>
    <x v="73"/>
    <x v="75"/>
    <x v="76"/>
    <x v="58"/>
    <x v="75"/>
    <x v="0"/>
  </r>
  <r>
    <x v="0"/>
    <x v="4"/>
    <x v="4"/>
    <x v="7"/>
    <x v="7"/>
    <x v="7"/>
    <x v="12"/>
    <x v="64"/>
    <x v="74"/>
    <x v="76"/>
    <x v="15"/>
    <x v="56"/>
    <x v="78"/>
    <x v="0"/>
  </r>
  <r>
    <x v="0"/>
    <x v="4"/>
    <x v="4"/>
    <x v="16"/>
    <x v="16"/>
    <x v="16"/>
    <x v="13"/>
    <x v="67"/>
    <x v="45"/>
    <x v="68"/>
    <x v="77"/>
    <x v="67"/>
    <x v="79"/>
    <x v="0"/>
  </r>
  <r>
    <x v="0"/>
    <x v="4"/>
    <x v="4"/>
    <x v="14"/>
    <x v="14"/>
    <x v="14"/>
    <x v="14"/>
    <x v="75"/>
    <x v="75"/>
    <x v="59"/>
    <x v="78"/>
    <x v="54"/>
    <x v="80"/>
    <x v="0"/>
  </r>
  <r>
    <x v="0"/>
    <x v="4"/>
    <x v="4"/>
    <x v="17"/>
    <x v="17"/>
    <x v="17"/>
    <x v="14"/>
    <x v="75"/>
    <x v="75"/>
    <x v="77"/>
    <x v="79"/>
    <x v="23"/>
    <x v="81"/>
    <x v="0"/>
  </r>
  <r>
    <x v="0"/>
    <x v="4"/>
    <x v="4"/>
    <x v="19"/>
    <x v="19"/>
    <x v="19"/>
    <x v="14"/>
    <x v="75"/>
    <x v="75"/>
    <x v="78"/>
    <x v="80"/>
    <x v="46"/>
    <x v="71"/>
    <x v="0"/>
  </r>
  <r>
    <x v="0"/>
    <x v="4"/>
    <x v="4"/>
    <x v="22"/>
    <x v="22"/>
    <x v="22"/>
    <x v="17"/>
    <x v="76"/>
    <x v="46"/>
    <x v="73"/>
    <x v="74"/>
    <x v="44"/>
    <x v="72"/>
    <x v="0"/>
  </r>
  <r>
    <x v="0"/>
    <x v="4"/>
    <x v="4"/>
    <x v="27"/>
    <x v="27"/>
    <x v="27"/>
    <x v="18"/>
    <x v="77"/>
    <x v="76"/>
    <x v="79"/>
    <x v="81"/>
    <x v="60"/>
    <x v="82"/>
    <x v="0"/>
  </r>
  <r>
    <x v="0"/>
    <x v="4"/>
    <x v="4"/>
    <x v="28"/>
    <x v="28"/>
    <x v="28"/>
    <x v="19"/>
    <x v="78"/>
    <x v="77"/>
    <x v="80"/>
    <x v="82"/>
    <x v="45"/>
    <x v="70"/>
    <x v="0"/>
  </r>
  <r>
    <x v="0"/>
    <x v="4"/>
    <x v="4"/>
    <x v="29"/>
    <x v="29"/>
    <x v="29"/>
    <x v="19"/>
    <x v="78"/>
    <x v="77"/>
    <x v="79"/>
    <x v="81"/>
    <x v="42"/>
    <x v="42"/>
    <x v="0"/>
  </r>
  <r>
    <x v="0"/>
    <x v="5"/>
    <x v="5"/>
    <x v="1"/>
    <x v="1"/>
    <x v="1"/>
    <x v="0"/>
    <x v="79"/>
    <x v="78"/>
    <x v="81"/>
    <x v="71"/>
    <x v="68"/>
    <x v="83"/>
    <x v="0"/>
  </r>
  <r>
    <x v="0"/>
    <x v="5"/>
    <x v="5"/>
    <x v="0"/>
    <x v="0"/>
    <x v="0"/>
    <x v="1"/>
    <x v="80"/>
    <x v="79"/>
    <x v="82"/>
    <x v="83"/>
    <x v="69"/>
    <x v="84"/>
    <x v="0"/>
  </r>
  <r>
    <x v="0"/>
    <x v="5"/>
    <x v="5"/>
    <x v="3"/>
    <x v="3"/>
    <x v="3"/>
    <x v="2"/>
    <x v="81"/>
    <x v="80"/>
    <x v="83"/>
    <x v="84"/>
    <x v="57"/>
    <x v="72"/>
    <x v="0"/>
  </r>
  <r>
    <x v="0"/>
    <x v="5"/>
    <x v="5"/>
    <x v="5"/>
    <x v="5"/>
    <x v="5"/>
    <x v="3"/>
    <x v="82"/>
    <x v="81"/>
    <x v="84"/>
    <x v="85"/>
    <x v="70"/>
    <x v="85"/>
    <x v="0"/>
  </r>
  <r>
    <x v="0"/>
    <x v="5"/>
    <x v="5"/>
    <x v="2"/>
    <x v="2"/>
    <x v="2"/>
    <x v="4"/>
    <x v="83"/>
    <x v="82"/>
    <x v="85"/>
    <x v="86"/>
    <x v="22"/>
    <x v="86"/>
    <x v="0"/>
  </r>
  <r>
    <x v="0"/>
    <x v="5"/>
    <x v="5"/>
    <x v="12"/>
    <x v="12"/>
    <x v="12"/>
    <x v="5"/>
    <x v="84"/>
    <x v="2"/>
    <x v="86"/>
    <x v="87"/>
    <x v="71"/>
    <x v="87"/>
    <x v="0"/>
  </r>
  <r>
    <x v="0"/>
    <x v="5"/>
    <x v="5"/>
    <x v="11"/>
    <x v="11"/>
    <x v="11"/>
    <x v="6"/>
    <x v="85"/>
    <x v="83"/>
    <x v="70"/>
    <x v="88"/>
    <x v="72"/>
    <x v="88"/>
    <x v="0"/>
  </r>
  <r>
    <x v="0"/>
    <x v="5"/>
    <x v="5"/>
    <x v="8"/>
    <x v="8"/>
    <x v="8"/>
    <x v="7"/>
    <x v="86"/>
    <x v="84"/>
    <x v="87"/>
    <x v="89"/>
    <x v="73"/>
    <x v="89"/>
    <x v="0"/>
  </r>
  <r>
    <x v="0"/>
    <x v="5"/>
    <x v="5"/>
    <x v="13"/>
    <x v="13"/>
    <x v="13"/>
    <x v="8"/>
    <x v="87"/>
    <x v="85"/>
    <x v="74"/>
    <x v="90"/>
    <x v="74"/>
    <x v="90"/>
    <x v="0"/>
  </r>
  <r>
    <x v="0"/>
    <x v="5"/>
    <x v="5"/>
    <x v="4"/>
    <x v="4"/>
    <x v="4"/>
    <x v="9"/>
    <x v="88"/>
    <x v="55"/>
    <x v="88"/>
    <x v="5"/>
    <x v="58"/>
    <x v="91"/>
    <x v="0"/>
  </r>
  <r>
    <x v="0"/>
    <x v="5"/>
    <x v="5"/>
    <x v="19"/>
    <x v="19"/>
    <x v="19"/>
    <x v="10"/>
    <x v="89"/>
    <x v="86"/>
    <x v="58"/>
    <x v="91"/>
    <x v="75"/>
    <x v="38"/>
    <x v="0"/>
  </r>
  <r>
    <x v="0"/>
    <x v="5"/>
    <x v="5"/>
    <x v="6"/>
    <x v="6"/>
    <x v="6"/>
    <x v="11"/>
    <x v="90"/>
    <x v="8"/>
    <x v="86"/>
    <x v="87"/>
    <x v="76"/>
    <x v="55"/>
    <x v="0"/>
  </r>
  <r>
    <x v="0"/>
    <x v="5"/>
    <x v="5"/>
    <x v="20"/>
    <x v="20"/>
    <x v="20"/>
    <x v="12"/>
    <x v="91"/>
    <x v="87"/>
    <x v="89"/>
    <x v="74"/>
    <x v="22"/>
    <x v="86"/>
    <x v="0"/>
  </r>
  <r>
    <x v="0"/>
    <x v="5"/>
    <x v="5"/>
    <x v="14"/>
    <x v="14"/>
    <x v="14"/>
    <x v="13"/>
    <x v="92"/>
    <x v="88"/>
    <x v="77"/>
    <x v="92"/>
    <x v="77"/>
    <x v="92"/>
    <x v="0"/>
  </r>
  <r>
    <x v="0"/>
    <x v="5"/>
    <x v="5"/>
    <x v="9"/>
    <x v="9"/>
    <x v="9"/>
    <x v="14"/>
    <x v="93"/>
    <x v="89"/>
    <x v="38"/>
    <x v="93"/>
    <x v="78"/>
    <x v="93"/>
    <x v="0"/>
  </r>
  <r>
    <x v="0"/>
    <x v="5"/>
    <x v="5"/>
    <x v="16"/>
    <x v="16"/>
    <x v="16"/>
    <x v="15"/>
    <x v="94"/>
    <x v="90"/>
    <x v="80"/>
    <x v="33"/>
    <x v="79"/>
    <x v="94"/>
    <x v="0"/>
  </r>
  <r>
    <x v="0"/>
    <x v="5"/>
    <x v="5"/>
    <x v="30"/>
    <x v="30"/>
    <x v="30"/>
    <x v="16"/>
    <x v="95"/>
    <x v="33"/>
    <x v="67"/>
    <x v="94"/>
    <x v="80"/>
    <x v="95"/>
    <x v="0"/>
  </r>
  <r>
    <x v="0"/>
    <x v="5"/>
    <x v="5"/>
    <x v="22"/>
    <x v="22"/>
    <x v="22"/>
    <x v="17"/>
    <x v="96"/>
    <x v="91"/>
    <x v="90"/>
    <x v="95"/>
    <x v="64"/>
    <x v="64"/>
    <x v="0"/>
  </r>
  <r>
    <x v="0"/>
    <x v="5"/>
    <x v="5"/>
    <x v="29"/>
    <x v="29"/>
    <x v="29"/>
    <x v="17"/>
    <x v="96"/>
    <x v="91"/>
    <x v="91"/>
    <x v="96"/>
    <x v="55"/>
    <x v="96"/>
    <x v="0"/>
  </r>
  <r>
    <x v="0"/>
    <x v="5"/>
    <x v="5"/>
    <x v="31"/>
    <x v="31"/>
    <x v="31"/>
    <x v="19"/>
    <x v="97"/>
    <x v="92"/>
    <x v="68"/>
    <x v="97"/>
    <x v="81"/>
    <x v="97"/>
    <x v="0"/>
  </r>
  <r>
    <x v="0"/>
    <x v="5"/>
    <x v="5"/>
    <x v="15"/>
    <x v="15"/>
    <x v="15"/>
    <x v="19"/>
    <x v="97"/>
    <x v="92"/>
    <x v="73"/>
    <x v="98"/>
    <x v="70"/>
    <x v="85"/>
    <x v="0"/>
  </r>
  <r>
    <x v="0"/>
    <x v="6"/>
    <x v="6"/>
    <x v="1"/>
    <x v="1"/>
    <x v="1"/>
    <x v="0"/>
    <x v="98"/>
    <x v="93"/>
    <x v="92"/>
    <x v="99"/>
    <x v="82"/>
    <x v="98"/>
    <x v="0"/>
  </r>
  <r>
    <x v="0"/>
    <x v="6"/>
    <x v="6"/>
    <x v="0"/>
    <x v="0"/>
    <x v="0"/>
    <x v="1"/>
    <x v="99"/>
    <x v="94"/>
    <x v="93"/>
    <x v="100"/>
    <x v="83"/>
    <x v="99"/>
    <x v="0"/>
  </r>
  <r>
    <x v="0"/>
    <x v="6"/>
    <x v="6"/>
    <x v="7"/>
    <x v="7"/>
    <x v="7"/>
    <x v="2"/>
    <x v="100"/>
    <x v="95"/>
    <x v="62"/>
    <x v="101"/>
    <x v="84"/>
    <x v="100"/>
    <x v="0"/>
  </r>
  <r>
    <x v="0"/>
    <x v="6"/>
    <x v="6"/>
    <x v="4"/>
    <x v="4"/>
    <x v="4"/>
    <x v="3"/>
    <x v="101"/>
    <x v="20"/>
    <x v="94"/>
    <x v="102"/>
    <x v="58"/>
    <x v="4"/>
    <x v="0"/>
  </r>
  <r>
    <x v="0"/>
    <x v="6"/>
    <x v="6"/>
    <x v="6"/>
    <x v="6"/>
    <x v="6"/>
    <x v="4"/>
    <x v="102"/>
    <x v="96"/>
    <x v="95"/>
    <x v="103"/>
    <x v="53"/>
    <x v="31"/>
    <x v="0"/>
  </r>
  <r>
    <x v="0"/>
    <x v="6"/>
    <x v="6"/>
    <x v="10"/>
    <x v="10"/>
    <x v="10"/>
    <x v="5"/>
    <x v="91"/>
    <x v="97"/>
    <x v="60"/>
    <x v="104"/>
    <x v="85"/>
    <x v="94"/>
    <x v="0"/>
  </r>
  <r>
    <x v="0"/>
    <x v="6"/>
    <x v="6"/>
    <x v="14"/>
    <x v="14"/>
    <x v="14"/>
    <x v="6"/>
    <x v="103"/>
    <x v="98"/>
    <x v="66"/>
    <x v="105"/>
    <x v="86"/>
    <x v="101"/>
    <x v="0"/>
  </r>
  <r>
    <x v="0"/>
    <x v="6"/>
    <x v="6"/>
    <x v="21"/>
    <x v="21"/>
    <x v="21"/>
    <x v="7"/>
    <x v="104"/>
    <x v="99"/>
    <x v="69"/>
    <x v="106"/>
    <x v="87"/>
    <x v="102"/>
    <x v="0"/>
  </r>
  <r>
    <x v="0"/>
    <x v="6"/>
    <x v="6"/>
    <x v="8"/>
    <x v="8"/>
    <x v="8"/>
    <x v="7"/>
    <x v="104"/>
    <x v="99"/>
    <x v="75"/>
    <x v="107"/>
    <x v="88"/>
    <x v="103"/>
    <x v="0"/>
  </r>
  <r>
    <x v="0"/>
    <x v="6"/>
    <x v="6"/>
    <x v="9"/>
    <x v="9"/>
    <x v="9"/>
    <x v="9"/>
    <x v="105"/>
    <x v="23"/>
    <x v="30"/>
    <x v="108"/>
    <x v="40"/>
    <x v="104"/>
    <x v="0"/>
  </r>
  <r>
    <x v="0"/>
    <x v="6"/>
    <x v="6"/>
    <x v="17"/>
    <x v="17"/>
    <x v="17"/>
    <x v="10"/>
    <x v="95"/>
    <x v="100"/>
    <x v="96"/>
    <x v="109"/>
    <x v="89"/>
    <x v="105"/>
    <x v="0"/>
  </r>
  <r>
    <x v="0"/>
    <x v="6"/>
    <x v="6"/>
    <x v="11"/>
    <x v="11"/>
    <x v="11"/>
    <x v="11"/>
    <x v="106"/>
    <x v="86"/>
    <x v="43"/>
    <x v="110"/>
    <x v="22"/>
    <x v="106"/>
    <x v="0"/>
  </r>
  <r>
    <x v="0"/>
    <x v="6"/>
    <x v="6"/>
    <x v="18"/>
    <x v="18"/>
    <x v="18"/>
    <x v="12"/>
    <x v="45"/>
    <x v="101"/>
    <x v="48"/>
    <x v="111"/>
    <x v="54"/>
    <x v="107"/>
    <x v="0"/>
  </r>
  <r>
    <x v="0"/>
    <x v="6"/>
    <x v="6"/>
    <x v="12"/>
    <x v="12"/>
    <x v="12"/>
    <x v="13"/>
    <x v="107"/>
    <x v="59"/>
    <x v="87"/>
    <x v="112"/>
    <x v="90"/>
    <x v="108"/>
    <x v="0"/>
  </r>
  <r>
    <x v="0"/>
    <x v="6"/>
    <x v="6"/>
    <x v="13"/>
    <x v="13"/>
    <x v="13"/>
    <x v="13"/>
    <x v="107"/>
    <x v="59"/>
    <x v="68"/>
    <x v="113"/>
    <x v="47"/>
    <x v="109"/>
    <x v="0"/>
  </r>
  <r>
    <x v="0"/>
    <x v="6"/>
    <x v="6"/>
    <x v="16"/>
    <x v="16"/>
    <x v="16"/>
    <x v="15"/>
    <x v="108"/>
    <x v="102"/>
    <x v="97"/>
    <x v="114"/>
    <x v="41"/>
    <x v="67"/>
    <x v="0"/>
  </r>
  <r>
    <x v="0"/>
    <x v="6"/>
    <x v="6"/>
    <x v="32"/>
    <x v="32"/>
    <x v="32"/>
    <x v="16"/>
    <x v="109"/>
    <x v="75"/>
    <x v="96"/>
    <x v="109"/>
    <x v="91"/>
    <x v="84"/>
    <x v="0"/>
  </r>
  <r>
    <x v="0"/>
    <x v="6"/>
    <x v="6"/>
    <x v="30"/>
    <x v="30"/>
    <x v="30"/>
    <x v="17"/>
    <x v="110"/>
    <x v="15"/>
    <x v="59"/>
    <x v="115"/>
    <x v="92"/>
    <x v="110"/>
    <x v="0"/>
  </r>
  <r>
    <x v="0"/>
    <x v="6"/>
    <x v="6"/>
    <x v="2"/>
    <x v="2"/>
    <x v="2"/>
    <x v="18"/>
    <x v="111"/>
    <x v="89"/>
    <x v="61"/>
    <x v="116"/>
    <x v="55"/>
    <x v="72"/>
    <x v="0"/>
  </r>
  <r>
    <x v="0"/>
    <x v="6"/>
    <x v="6"/>
    <x v="33"/>
    <x v="33"/>
    <x v="33"/>
    <x v="19"/>
    <x v="112"/>
    <x v="90"/>
    <x v="62"/>
    <x v="101"/>
    <x v="93"/>
    <x v="111"/>
    <x v="0"/>
  </r>
  <r>
    <x v="0"/>
    <x v="7"/>
    <x v="7"/>
    <x v="1"/>
    <x v="1"/>
    <x v="1"/>
    <x v="0"/>
    <x v="95"/>
    <x v="103"/>
    <x v="98"/>
    <x v="59"/>
    <x v="50"/>
    <x v="112"/>
    <x v="0"/>
  </r>
  <r>
    <x v="0"/>
    <x v="7"/>
    <x v="7"/>
    <x v="0"/>
    <x v="0"/>
    <x v="0"/>
    <x v="0"/>
    <x v="95"/>
    <x v="103"/>
    <x v="99"/>
    <x v="117"/>
    <x v="55"/>
    <x v="113"/>
    <x v="0"/>
  </r>
  <r>
    <x v="0"/>
    <x v="7"/>
    <x v="7"/>
    <x v="20"/>
    <x v="20"/>
    <x v="20"/>
    <x v="2"/>
    <x v="106"/>
    <x v="104"/>
    <x v="100"/>
    <x v="118"/>
    <x v="52"/>
    <x v="68"/>
    <x v="0"/>
  </r>
  <r>
    <x v="0"/>
    <x v="7"/>
    <x v="7"/>
    <x v="4"/>
    <x v="4"/>
    <x v="4"/>
    <x v="3"/>
    <x v="108"/>
    <x v="105"/>
    <x v="46"/>
    <x v="119"/>
    <x v="60"/>
    <x v="114"/>
    <x v="0"/>
  </r>
  <r>
    <x v="0"/>
    <x v="7"/>
    <x v="7"/>
    <x v="2"/>
    <x v="2"/>
    <x v="2"/>
    <x v="4"/>
    <x v="111"/>
    <x v="106"/>
    <x v="60"/>
    <x v="120"/>
    <x v="51"/>
    <x v="115"/>
    <x v="0"/>
  </r>
  <r>
    <x v="0"/>
    <x v="7"/>
    <x v="7"/>
    <x v="11"/>
    <x v="11"/>
    <x v="11"/>
    <x v="5"/>
    <x v="58"/>
    <x v="96"/>
    <x v="101"/>
    <x v="121"/>
    <x v="52"/>
    <x v="68"/>
    <x v="0"/>
  </r>
  <r>
    <x v="0"/>
    <x v="7"/>
    <x v="7"/>
    <x v="5"/>
    <x v="5"/>
    <x v="5"/>
    <x v="6"/>
    <x v="59"/>
    <x v="107"/>
    <x v="102"/>
    <x v="122"/>
    <x v="58"/>
    <x v="62"/>
    <x v="0"/>
  </r>
  <r>
    <x v="0"/>
    <x v="7"/>
    <x v="7"/>
    <x v="9"/>
    <x v="9"/>
    <x v="9"/>
    <x v="7"/>
    <x v="113"/>
    <x v="108"/>
    <x v="87"/>
    <x v="123"/>
    <x v="58"/>
    <x v="62"/>
    <x v="0"/>
  </r>
  <r>
    <x v="0"/>
    <x v="7"/>
    <x v="7"/>
    <x v="8"/>
    <x v="8"/>
    <x v="8"/>
    <x v="8"/>
    <x v="60"/>
    <x v="23"/>
    <x v="73"/>
    <x v="124"/>
    <x v="90"/>
    <x v="116"/>
    <x v="0"/>
  </r>
  <r>
    <x v="0"/>
    <x v="7"/>
    <x v="7"/>
    <x v="3"/>
    <x v="3"/>
    <x v="3"/>
    <x v="8"/>
    <x v="60"/>
    <x v="23"/>
    <x v="101"/>
    <x v="121"/>
    <x v="42"/>
    <x v="42"/>
    <x v="0"/>
  </r>
  <r>
    <x v="0"/>
    <x v="7"/>
    <x v="7"/>
    <x v="6"/>
    <x v="6"/>
    <x v="6"/>
    <x v="10"/>
    <x v="61"/>
    <x v="109"/>
    <x v="103"/>
    <x v="45"/>
    <x v="58"/>
    <x v="62"/>
    <x v="0"/>
  </r>
  <r>
    <x v="0"/>
    <x v="7"/>
    <x v="7"/>
    <x v="12"/>
    <x v="12"/>
    <x v="12"/>
    <x v="11"/>
    <x v="62"/>
    <x v="110"/>
    <x v="74"/>
    <x v="125"/>
    <x v="64"/>
    <x v="77"/>
    <x v="0"/>
  </r>
  <r>
    <x v="0"/>
    <x v="7"/>
    <x v="7"/>
    <x v="13"/>
    <x v="13"/>
    <x v="13"/>
    <x v="11"/>
    <x v="62"/>
    <x v="110"/>
    <x v="79"/>
    <x v="126"/>
    <x v="54"/>
    <x v="92"/>
    <x v="0"/>
  </r>
  <r>
    <x v="0"/>
    <x v="7"/>
    <x v="7"/>
    <x v="17"/>
    <x v="17"/>
    <x v="17"/>
    <x v="13"/>
    <x v="72"/>
    <x v="111"/>
    <x v="47"/>
    <x v="47"/>
    <x v="94"/>
    <x v="117"/>
    <x v="0"/>
  </r>
  <r>
    <x v="0"/>
    <x v="7"/>
    <x v="7"/>
    <x v="14"/>
    <x v="14"/>
    <x v="14"/>
    <x v="14"/>
    <x v="74"/>
    <x v="31"/>
    <x v="49"/>
    <x v="127"/>
    <x v="65"/>
    <x v="118"/>
    <x v="0"/>
  </r>
  <r>
    <x v="0"/>
    <x v="7"/>
    <x v="7"/>
    <x v="24"/>
    <x v="24"/>
    <x v="24"/>
    <x v="15"/>
    <x v="64"/>
    <x v="112"/>
    <x v="56"/>
    <x v="128"/>
    <x v="42"/>
    <x v="42"/>
    <x v="0"/>
  </r>
  <r>
    <x v="0"/>
    <x v="7"/>
    <x v="7"/>
    <x v="7"/>
    <x v="7"/>
    <x v="7"/>
    <x v="16"/>
    <x v="65"/>
    <x v="113"/>
    <x v="59"/>
    <x v="129"/>
    <x v="65"/>
    <x v="118"/>
    <x v="0"/>
  </r>
  <r>
    <x v="0"/>
    <x v="7"/>
    <x v="7"/>
    <x v="21"/>
    <x v="21"/>
    <x v="21"/>
    <x v="17"/>
    <x v="75"/>
    <x v="114"/>
    <x v="68"/>
    <x v="130"/>
    <x v="40"/>
    <x v="39"/>
    <x v="0"/>
  </r>
  <r>
    <x v="0"/>
    <x v="7"/>
    <x v="7"/>
    <x v="19"/>
    <x v="19"/>
    <x v="19"/>
    <x v="17"/>
    <x v="75"/>
    <x v="114"/>
    <x v="96"/>
    <x v="131"/>
    <x v="45"/>
    <x v="119"/>
    <x v="0"/>
  </r>
  <r>
    <x v="0"/>
    <x v="7"/>
    <x v="7"/>
    <x v="23"/>
    <x v="23"/>
    <x v="23"/>
    <x v="17"/>
    <x v="75"/>
    <x v="114"/>
    <x v="55"/>
    <x v="107"/>
    <x v="52"/>
    <x v="68"/>
    <x v="0"/>
  </r>
  <r>
    <x v="0"/>
    <x v="7"/>
    <x v="7"/>
    <x v="29"/>
    <x v="29"/>
    <x v="29"/>
    <x v="17"/>
    <x v="75"/>
    <x v="114"/>
    <x v="79"/>
    <x v="126"/>
    <x v="58"/>
    <x v="62"/>
    <x v="0"/>
  </r>
  <r>
    <x v="0"/>
    <x v="8"/>
    <x v="8"/>
    <x v="0"/>
    <x v="0"/>
    <x v="0"/>
    <x v="0"/>
    <x v="114"/>
    <x v="115"/>
    <x v="33"/>
    <x v="132"/>
    <x v="93"/>
    <x v="10"/>
    <x v="0"/>
  </r>
  <r>
    <x v="0"/>
    <x v="8"/>
    <x v="8"/>
    <x v="1"/>
    <x v="1"/>
    <x v="1"/>
    <x v="1"/>
    <x v="115"/>
    <x v="116"/>
    <x v="104"/>
    <x v="133"/>
    <x v="95"/>
    <x v="120"/>
    <x v="0"/>
  </r>
  <r>
    <x v="0"/>
    <x v="8"/>
    <x v="8"/>
    <x v="2"/>
    <x v="2"/>
    <x v="2"/>
    <x v="2"/>
    <x v="116"/>
    <x v="117"/>
    <x v="93"/>
    <x v="134"/>
    <x v="76"/>
    <x v="2"/>
    <x v="0"/>
  </r>
  <r>
    <x v="0"/>
    <x v="8"/>
    <x v="8"/>
    <x v="4"/>
    <x v="4"/>
    <x v="4"/>
    <x v="3"/>
    <x v="117"/>
    <x v="118"/>
    <x v="105"/>
    <x v="135"/>
    <x v="46"/>
    <x v="4"/>
    <x v="0"/>
  </r>
  <r>
    <x v="0"/>
    <x v="8"/>
    <x v="8"/>
    <x v="3"/>
    <x v="3"/>
    <x v="3"/>
    <x v="4"/>
    <x v="118"/>
    <x v="119"/>
    <x v="106"/>
    <x v="136"/>
    <x v="40"/>
    <x v="27"/>
    <x v="0"/>
  </r>
  <r>
    <x v="0"/>
    <x v="8"/>
    <x v="8"/>
    <x v="8"/>
    <x v="8"/>
    <x v="8"/>
    <x v="5"/>
    <x v="119"/>
    <x v="120"/>
    <x v="48"/>
    <x v="131"/>
    <x v="96"/>
    <x v="121"/>
    <x v="0"/>
  </r>
  <r>
    <x v="0"/>
    <x v="8"/>
    <x v="8"/>
    <x v="6"/>
    <x v="6"/>
    <x v="6"/>
    <x v="5"/>
    <x v="119"/>
    <x v="120"/>
    <x v="107"/>
    <x v="137"/>
    <x v="65"/>
    <x v="113"/>
    <x v="0"/>
  </r>
  <r>
    <x v="0"/>
    <x v="8"/>
    <x v="8"/>
    <x v="5"/>
    <x v="5"/>
    <x v="5"/>
    <x v="7"/>
    <x v="120"/>
    <x v="121"/>
    <x v="40"/>
    <x v="138"/>
    <x v="97"/>
    <x v="122"/>
    <x v="0"/>
  </r>
  <r>
    <x v="0"/>
    <x v="8"/>
    <x v="8"/>
    <x v="7"/>
    <x v="7"/>
    <x v="7"/>
    <x v="8"/>
    <x v="121"/>
    <x v="122"/>
    <x v="56"/>
    <x v="139"/>
    <x v="73"/>
    <x v="123"/>
    <x v="0"/>
  </r>
  <r>
    <x v="0"/>
    <x v="8"/>
    <x v="8"/>
    <x v="10"/>
    <x v="10"/>
    <x v="10"/>
    <x v="9"/>
    <x v="122"/>
    <x v="110"/>
    <x v="108"/>
    <x v="140"/>
    <x v="83"/>
    <x v="11"/>
    <x v="0"/>
  </r>
  <r>
    <x v="0"/>
    <x v="8"/>
    <x v="8"/>
    <x v="17"/>
    <x v="17"/>
    <x v="17"/>
    <x v="10"/>
    <x v="101"/>
    <x v="57"/>
    <x v="62"/>
    <x v="34"/>
    <x v="98"/>
    <x v="49"/>
    <x v="0"/>
  </r>
  <r>
    <x v="0"/>
    <x v="8"/>
    <x v="8"/>
    <x v="12"/>
    <x v="12"/>
    <x v="12"/>
    <x v="10"/>
    <x v="101"/>
    <x v="57"/>
    <x v="109"/>
    <x v="141"/>
    <x v="99"/>
    <x v="70"/>
    <x v="0"/>
  </r>
  <r>
    <x v="0"/>
    <x v="8"/>
    <x v="8"/>
    <x v="14"/>
    <x v="14"/>
    <x v="14"/>
    <x v="12"/>
    <x v="123"/>
    <x v="10"/>
    <x v="80"/>
    <x v="78"/>
    <x v="100"/>
    <x v="124"/>
    <x v="0"/>
  </r>
  <r>
    <x v="0"/>
    <x v="8"/>
    <x v="8"/>
    <x v="13"/>
    <x v="13"/>
    <x v="13"/>
    <x v="13"/>
    <x v="124"/>
    <x v="73"/>
    <x v="55"/>
    <x v="142"/>
    <x v="31"/>
    <x v="125"/>
    <x v="0"/>
  </r>
  <r>
    <x v="0"/>
    <x v="8"/>
    <x v="8"/>
    <x v="11"/>
    <x v="11"/>
    <x v="11"/>
    <x v="14"/>
    <x v="125"/>
    <x v="123"/>
    <x v="110"/>
    <x v="143"/>
    <x v="63"/>
    <x v="76"/>
    <x v="0"/>
  </r>
  <r>
    <x v="0"/>
    <x v="8"/>
    <x v="8"/>
    <x v="9"/>
    <x v="9"/>
    <x v="9"/>
    <x v="15"/>
    <x v="92"/>
    <x v="12"/>
    <x v="111"/>
    <x v="144"/>
    <x v="67"/>
    <x v="126"/>
    <x v="0"/>
  </r>
  <r>
    <x v="0"/>
    <x v="8"/>
    <x v="8"/>
    <x v="16"/>
    <x v="16"/>
    <x v="16"/>
    <x v="16"/>
    <x v="95"/>
    <x v="112"/>
    <x v="73"/>
    <x v="145"/>
    <x v="101"/>
    <x v="127"/>
    <x v="0"/>
  </r>
  <r>
    <x v="0"/>
    <x v="8"/>
    <x v="8"/>
    <x v="18"/>
    <x v="18"/>
    <x v="18"/>
    <x v="17"/>
    <x v="126"/>
    <x v="45"/>
    <x v="112"/>
    <x v="146"/>
    <x v="94"/>
    <x v="5"/>
    <x v="1"/>
  </r>
  <r>
    <x v="0"/>
    <x v="8"/>
    <x v="8"/>
    <x v="21"/>
    <x v="21"/>
    <x v="21"/>
    <x v="18"/>
    <x v="127"/>
    <x v="61"/>
    <x v="66"/>
    <x v="147"/>
    <x v="70"/>
    <x v="128"/>
    <x v="0"/>
  </r>
  <r>
    <x v="0"/>
    <x v="8"/>
    <x v="8"/>
    <x v="33"/>
    <x v="33"/>
    <x v="33"/>
    <x v="19"/>
    <x v="128"/>
    <x v="91"/>
    <x v="69"/>
    <x v="77"/>
    <x v="92"/>
    <x v="129"/>
    <x v="0"/>
  </r>
  <r>
    <x v="0"/>
    <x v="9"/>
    <x v="9"/>
    <x v="1"/>
    <x v="1"/>
    <x v="1"/>
    <x v="0"/>
    <x v="129"/>
    <x v="124"/>
    <x v="113"/>
    <x v="148"/>
    <x v="102"/>
    <x v="130"/>
    <x v="0"/>
  </r>
  <r>
    <x v="0"/>
    <x v="9"/>
    <x v="9"/>
    <x v="0"/>
    <x v="0"/>
    <x v="0"/>
    <x v="1"/>
    <x v="130"/>
    <x v="125"/>
    <x v="114"/>
    <x v="149"/>
    <x v="103"/>
    <x v="131"/>
    <x v="0"/>
  </r>
  <r>
    <x v="0"/>
    <x v="9"/>
    <x v="9"/>
    <x v="3"/>
    <x v="3"/>
    <x v="3"/>
    <x v="2"/>
    <x v="131"/>
    <x v="126"/>
    <x v="115"/>
    <x v="150"/>
    <x v="68"/>
    <x v="31"/>
    <x v="0"/>
  </r>
  <r>
    <x v="0"/>
    <x v="9"/>
    <x v="9"/>
    <x v="2"/>
    <x v="2"/>
    <x v="2"/>
    <x v="3"/>
    <x v="132"/>
    <x v="127"/>
    <x v="116"/>
    <x v="151"/>
    <x v="104"/>
    <x v="132"/>
    <x v="0"/>
  </r>
  <r>
    <x v="0"/>
    <x v="9"/>
    <x v="9"/>
    <x v="5"/>
    <x v="5"/>
    <x v="5"/>
    <x v="4"/>
    <x v="133"/>
    <x v="128"/>
    <x v="117"/>
    <x v="152"/>
    <x v="105"/>
    <x v="133"/>
    <x v="0"/>
  </r>
  <r>
    <x v="0"/>
    <x v="9"/>
    <x v="9"/>
    <x v="6"/>
    <x v="6"/>
    <x v="6"/>
    <x v="5"/>
    <x v="134"/>
    <x v="129"/>
    <x v="118"/>
    <x v="153"/>
    <x v="106"/>
    <x v="134"/>
    <x v="0"/>
  </r>
  <r>
    <x v="0"/>
    <x v="9"/>
    <x v="9"/>
    <x v="13"/>
    <x v="13"/>
    <x v="13"/>
    <x v="6"/>
    <x v="135"/>
    <x v="24"/>
    <x v="40"/>
    <x v="154"/>
    <x v="107"/>
    <x v="89"/>
    <x v="3"/>
  </r>
  <r>
    <x v="0"/>
    <x v="9"/>
    <x v="9"/>
    <x v="15"/>
    <x v="15"/>
    <x v="15"/>
    <x v="7"/>
    <x v="136"/>
    <x v="130"/>
    <x v="119"/>
    <x v="82"/>
    <x v="108"/>
    <x v="135"/>
    <x v="0"/>
  </r>
  <r>
    <x v="0"/>
    <x v="9"/>
    <x v="9"/>
    <x v="9"/>
    <x v="9"/>
    <x v="9"/>
    <x v="8"/>
    <x v="137"/>
    <x v="55"/>
    <x v="120"/>
    <x v="155"/>
    <x v="109"/>
    <x v="25"/>
    <x v="1"/>
  </r>
  <r>
    <x v="0"/>
    <x v="9"/>
    <x v="9"/>
    <x v="16"/>
    <x v="16"/>
    <x v="16"/>
    <x v="9"/>
    <x v="138"/>
    <x v="55"/>
    <x v="121"/>
    <x v="156"/>
    <x v="110"/>
    <x v="136"/>
    <x v="0"/>
  </r>
  <r>
    <x v="0"/>
    <x v="9"/>
    <x v="9"/>
    <x v="4"/>
    <x v="4"/>
    <x v="4"/>
    <x v="10"/>
    <x v="139"/>
    <x v="44"/>
    <x v="122"/>
    <x v="42"/>
    <x v="111"/>
    <x v="137"/>
    <x v="0"/>
  </r>
  <r>
    <x v="0"/>
    <x v="9"/>
    <x v="9"/>
    <x v="12"/>
    <x v="12"/>
    <x v="12"/>
    <x v="11"/>
    <x v="140"/>
    <x v="131"/>
    <x v="123"/>
    <x v="157"/>
    <x v="112"/>
    <x v="138"/>
    <x v="0"/>
  </r>
  <r>
    <x v="0"/>
    <x v="9"/>
    <x v="9"/>
    <x v="8"/>
    <x v="8"/>
    <x v="8"/>
    <x v="12"/>
    <x v="141"/>
    <x v="132"/>
    <x v="124"/>
    <x v="158"/>
    <x v="113"/>
    <x v="139"/>
    <x v="0"/>
  </r>
  <r>
    <x v="0"/>
    <x v="9"/>
    <x v="9"/>
    <x v="34"/>
    <x v="34"/>
    <x v="34"/>
    <x v="13"/>
    <x v="142"/>
    <x v="113"/>
    <x v="64"/>
    <x v="159"/>
    <x v="114"/>
    <x v="94"/>
    <x v="5"/>
  </r>
  <r>
    <x v="0"/>
    <x v="9"/>
    <x v="9"/>
    <x v="19"/>
    <x v="19"/>
    <x v="19"/>
    <x v="14"/>
    <x v="143"/>
    <x v="14"/>
    <x v="125"/>
    <x v="160"/>
    <x v="115"/>
    <x v="140"/>
    <x v="0"/>
  </r>
  <r>
    <x v="0"/>
    <x v="9"/>
    <x v="9"/>
    <x v="31"/>
    <x v="31"/>
    <x v="31"/>
    <x v="15"/>
    <x v="144"/>
    <x v="32"/>
    <x v="126"/>
    <x v="161"/>
    <x v="116"/>
    <x v="94"/>
    <x v="1"/>
  </r>
  <r>
    <x v="0"/>
    <x v="9"/>
    <x v="9"/>
    <x v="35"/>
    <x v="35"/>
    <x v="35"/>
    <x v="16"/>
    <x v="145"/>
    <x v="133"/>
    <x v="101"/>
    <x v="162"/>
    <x v="117"/>
    <x v="39"/>
    <x v="6"/>
  </r>
  <r>
    <x v="0"/>
    <x v="9"/>
    <x v="9"/>
    <x v="11"/>
    <x v="11"/>
    <x v="11"/>
    <x v="17"/>
    <x v="146"/>
    <x v="89"/>
    <x v="127"/>
    <x v="163"/>
    <x v="118"/>
    <x v="141"/>
    <x v="1"/>
  </r>
  <r>
    <x v="0"/>
    <x v="9"/>
    <x v="9"/>
    <x v="14"/>
    <x v="14"/>
    <x v="14"/>
    <x v="18"/>
    <x v="147"/>
    <x v="134"/>
    <x v="128"/>
    <x v="164"/>
    <x v="119"/>
    <x v="15"/>
    <x v="0"/>
  </r>
  <r>
    <x v="0"/>
    <x v="9"/>
    <x v="9"/>
    <x v="36"/>
    <x v="36"/>
    <x v="36"/>
    <x v="19"/>
    <x v="148"/>
    <x v="91"/>
    <x v="103"/>
    <x v="97"/>
    <x v="120"/>
    <x v="63"/>
    <x v="3"/>
  </r>
  <r>
    <x v="0"/>
    <x v="10"/>
    <x v="10"/>
    <x v="1"/>
    <x v="1"/>
    <x v="1"/>
    <x v="0"/>
    <x v="149"/>
    <x v="135"/>
    <x v="100"/>
    <x v="165"/>
    <x v="121"/>
    <x v="142"/>
    <x v="0"/>
  </r>
  <r>
    <x v="0"/>
    <x v="10"/>
    <x v="10"/>
    <x v="0"/>
    <x v="0"/>
    <x v="0"/>
    <x v="1"/>
    <x v="150"/>
    <x v="136"/>
    <x v="129"/>
    <x v="166"/>
    <x v="41"/>
    <x v="20"/>
    <x v="0"/>
  </r>
  <r>
    <x v="0"/>
    <x v="10"/>
    <x v="10"/>
    <x v="6"/>
    <x v="6"/>
    <x v="6"/>
    <x v="2"/>
    <x v="151"/>
    <x v="137"/>
    <x v="57"/>
    <x v="167"/>
    <x v="22"/>
    <x v="143"/>
    <x v="0"/>
  </r>
  <r>
    <x v="0"/>
    <x v="10"/>
    <x v="10"/>
    <x v="5"/>
    <x v="5"/>
    <x v="5"/>
    <x v="3"/>
    <x v="90"/>
    <x v="42"/>
    <x v="130"/>
    <x v="168"/>
    <x v="54"/>
    <x v="126"/>
    <x v="0"/>
  </r>
  <r>
    <x v="0"/>
    <x v="10"/>
    <x v="10"/>
    <x v="4"/>
    <x v="4"/>
    <x v="4"/>
    <x v="4"/>
    <x v="41"/>
    <x v="98"/>
    <x v="86"/>
    <x v="169"/>
    <x v="52"/>
    <x v="144"/>
    <x v="0"/>
  </r>
  <r>
    <x v="0"/>
    <x v="10"/>
    <x v="10"/>
    <x v="2"/>
    <x v="2"/>
    <x v="2"/>
    <x v="5"/>
    <x v="152"/>
    <x v="6"/>
    <x v="131"/>
    <x v="170"/>
    <x v="52"/>
    <x v="144"/>
    <x v="0"/>
  </r>
  <r>
    <x v="0"/>
    <x v="10"/>
    <x v="10"/>
    <x v="13"/>
    <x v="13"/>
    <x v="13"/>
    <x v="6"/>
    <x v="153"/>
    <x v="138"/>
    <x v="50"/>
    <x v="127"/>
    <x v="96"/>
    <x v="103"/>
    <x v="0"/>
  </r>
  <r>
    <x v="0"/>
    <x v="10"/>
    <x v="10"/>
    <x v="9"/>
    <x v="9"/>
    <x v="9"/>
    <x v="7"/>
    <x v="154"/>
    <x v="86"/>
    <x v="132"/>
    <x v="64"/>
    <x v="122"/>
    <x v="145"/>
    <x v="0"/>
  </r>
  <r>
    <x v="0"/>
    <x v="10"/>
    <x v="10"/>
    <x v="11"/>
    <x v="11"/>
    <x v="11"/>
    <x v="8"/>
    <x v="93"/>
    <x v="27"/>
    <x v="133"/>
    <x v="171"/>
    <x v="93"/>
    <x v="68"/>
    <x v="0"/>
  </r>
  <r>
    <x v="0"/>
    <x v="10"/>
    <x v="10"/>
    <x v="7"/>
    <x v="7"/>
    <x v="7"/>
    <x v="9"/>
    <x v="105"/>
    <x v="139"/>
    <x v="68"/>
    <x v="33"/>
    <x v="80"/>
    <x v="78"/>
    <x v="0"/>
  </r>
  <r>
    <x v="0"/>
    <x v="10"/>
    <x v="10"/>
    <x v="16"/>
    <x v="16"/>
    <x v="16"/>
    <x v="9"/>
    <x v="105"/>
    <x v="139"/>
    <x v="97"/>
    <x v="145"/>
    <x v="79"/>
    <x v="146"/>
    <x v="0"/>
  </r>
  <r>
    <x v="0"/>
    <x v="10"/>
    <x v="10"/>
    <x v="12"/>
    <x v="12"/>
    <x v="12"/>
    <x v="11"/>
    <x v="96"/>
    <x v="30"/>
    <x v="134"/>
    <x v="172"/>
    <x v="123"/>
    <x v="119"/>
    <x v="0"/>
  </r>
  <r>
    <x v="0"/>
    <x v="10"/>
    <x v="10"/>
    <x v="3"/>
    <x v="3"/>
    <x v="3"/>
    <x v="12"/>
    <x v="106"/>
    <x v="12"/>
    <x v="100"/>
    <x v="165"/>
    <x v="52"/>
    <x v="144"/>
    <x v="0"/>
  </r>
  <r>
    <x v="0"/>
    <x v="10"/>
    <x v="10"/>
    <x v="14"/>
    <x v="14"/>
    <x v="14"/>
    <x v="13"/>
    <x v="43"/>
    <x v="45"/>
    <x v="76"/>
    <x v="142"/>
    <x v="69"/>
    <x v="39"/>
    <x v="0"/>
  </r>
  <r>
    <x v="0"/>
    <x v="10"/>
    <x v="10"/>
    <x v="28"/>
    <x v="28"/>
    <x v="28"/>
    <x v="14"/>
    <x v="127"/>
    <x v="140"/>
    <x v="135"/>
    <x v="89"/>
    <x v="92"/>
    <x v="147"/>
    <x v="0"/>
  </r>
  <r>
    <x v="0"/>
    <x v="10"/>
    <x v="10"/>
    <x v="10"/>
    <x v="10"/>
    <x v="10"/>
    <x v="15"/>
    <x v="128"/>
    <x v="87"/>
    <x v="128"/>
    <x v="173"/>
    <x v="91"/>
    <x v="148"/>
    <x v="0"/>
  </r>
  <r>
    <x v="0"/>
    <x v="10"/>
    <x v="10"/>
    <x v="8"/>
    <x v="8"/>
    <x v="8"/>
    <x v="16"/>
    <x v="155"/>
    <x v="32"/>
    <x v="73"/>
    <x v="174"/>
    <x v="124"/>
    <x v="149"/>
    <x v="0"/>
  </r>
  <r>
    <x v="0"/>
    <x v="10"/>
    <x v="10"/>
    <x v="31"/>
    <x v="31"/>
    <x v="31"/>
    <x v="17"/>
    <x v="69"/>
    <x v="88"/>
    <x v="67"/>
    <x v="79"/>
    <x v="125"/>
    <x v="150"/>
    <x v="0"/>
  </r>
  <r>
    <x v="0"/>
    <x v="10"/>
    <x v="10"/>
    <x v="37"/>
    <x v="37"/>
    <x v="37"/>
    <x v="18"/>
    <x v="156"/>
    <x v="89"/>
    <x v="47"/>
    <x v="46"/>
    <x v="70"/>
    <x v="151"/>
    <x v="0"/>
  </r>
  <r>
    <x v="0"/>
    <x v="10"/>
    <x v="10"/>
    <x v="21"/>
    <x v="21"/>
    <x v="21"/>
    <x v="19"/>
    <x v="45"/>
    <x v="134"/>
    <x v="50"/>
    <x v="127"/>
    <x v="126"/>
    <x v="152"/>
    <x v="0"/>
  </r>
  <r>
    <x v="0"/>
    <x v="10"/>
    <x v="10"/>
    <x v="38"/>
    <x v="38"/>
    <x v="38"/>
    <x v="19"/>
    <x v="45"/>
    <x v="134"/>
    <x v="49"/>
    <x v="175"/>
    <x v="127"/>
    <x v="153"/>
    <x v="0"/>
  </r>
  <r>
    <x v="0"/>
    <x v="11"/>
    <x v="11"/>
    <x v="3"/>
    <x v="3"/>
    <x v="3"/>
    <x v="0"/>
    <x v="157"/>
    <x v="141"/>
    <x v="136"/>
    <x v="176"/>
    <x v="128"/>
    <x v="106"/>
    <x v="0"/>
  </r>
  <r>
    <x v="0"/>
    <x v="11"/>
    <x v="11"/>
    <x v="2"/>
    <x v="2"/>
    <x v="2"/>
    <x v="1"/>
    <x v="158"/>
    <x v="49"/>
    <x v="137"/>
    <x v="177"/>
    <x v="24"/>
    <x v="51"/>
    <x v="0"/>
  </r>
  <r>
    <x v="0"/>
    <x v="11"/>
    <x v="11"/>
    <x v="1"/>
    <x v="1"/>
    <x v="1"/>
    <x v="2"/>
    <x v="159"/>
    <x v="142"/>
    <x v="138"/>
    <x v="178"/>
    <x v="129"/>
    <x v="154"/>
    <x v="0"/>
  </r>
  <r>
    <x v="0"/>
    <x v="11"/>
    <x v="11"/>
    <x v="30"/>
    <x v="30"/>
    <x v="30"/>
    <x v="3"/>
    <x v="39"/>
    <x v="143"/>
    <x v="49"/>
    <x v="179"/>
    <x v="130"/>
    <x v="155"/>
    <x v="0"/>
  </r>
  <r>
    <x v="0"/>
    <x v="11"/>
    <x v="11"/>
    <x v="31"/>
    <x v="31"/>
    <x v="31"/>
    <x v="4"/>
    <x v="160"/>
    <x v="51"/>
    <x v="80"/>
    <x v="78"/>
    <x v="131"/>
    <x v="156"/>
    <x v="1"/>
  </r>
  <r>
    <x v="0"/>
    <x v="11"/>
    <x v="11"/>
    <x v="5"/>
    <x v="5"/>
    <x v="5"/>
    <x v="5"/>
    <x v="161"/>
    <x v="144"/>
    <x v="139"/>
    <x v="180"/>
    <x v="132"/>
    <x v="157"/>
    <x v="0"/>
  </r>
  <r>
    <x v="0"/>
    <x v="11"/>
    <x v="11"/>
    <x v="39"/>
    <x v="39"/>
    <x v="39"/>
    <x v="6"/>
    <x v="162"/>
    <x v="122"/>
    <x v="140"/>
    <x v="181"/>
    <x v="133"/>
    <x v="158"/>
    <x v="0"/>
  </r>
  <r>
    <x v="0"/>
    <x v="11"/>
    <x v="11"/>
    <x v="13"/>
    <x v="13"/>
    <x v="13"/>
    <x v="7"/>
    <x v="163"/>
    <x v="83"/>
    <x v="96"/>
    <x v="182"/>
    <x v="134"/>
    <x v="159"/>
    <x v="0"/>
  </r>
  <r>
    <x v="0"/>
    <x v="11"/>
    <x v="11"/>
    <x v="40"/>
    <x v="40"/>
    <x v="40"/>
    <x v="8"/>
    <x v="150"/>
    <x v="138"/>
    <x v="140"/>
    <x v="181"/>
    <x v="135"/>
    <x v="160"/>
    <x v="0"/>
  </r>
  <r>
    <x v="0"/>
    <x v="11"/>
    <x v="11"/>
    <x v="15"/>
    <x v="15"/>
    <x v="15"/>
    <x v="9"/>
    <x v="164"/>
    <x v="109"/>
    <x v="78"/>
    <x v="183"/>
    <x v="121"/>
    <x v="161"/>
    <x v="0"/>
  </r>
  <r>
    <x v="0"/>
    <x v="11"/>
    <x v="11"/>
    <x v="34"/>
    <x v="34"/>
    <x v="34"/>
    <x v="10"/>
    <x v="165"/>
    <x v="145"/>
    <x v="76"/>
    <x v="175"/>
    <x v="136"/>
    <x v="60"/>
    <x v="2"/>
  </r>
  <r>
    <x v="0"/>
    <x v="11"/>
    <x v="11"/>
    <x v="0"/>
    <x v="0"/>
    <x v="0"/>
    <x v="11"/>
    <x v="166"/>
    <x v="111"/>
    <x v="141"/>
    <x v="119"/>
    <x v="61"/>
    <x v="18"/>
    <x v="0"/>
  </r>
  <r>
    <x v="0"/>
    <x v="11"/>
    <x v="11"/>
    <x v="16"/>
    <x v="16"/>
    <x v="16"/>
    <x v="12"/>
    <x v="167"/>
    <x v="28"/>
    <x v="73"/>
    <x v="98"/>
    <x v="137"/>
    <x v="162"/>
    <x v="0"/>
  </r>
  <r>
    <x v="0"/>
    <x v="11"/>
    <x v="11"/>
    <x v="37"/>
    <x v="37"/>
    <x v="37"/>
    <x v="13"/>
    <x v="168"/>
    <x v="146"/>
    <x v="68"/>
    <x v="97"/>
    <x v="106"/>
    <x v="163"/>
    <x v="0"/>
  </r>
  <r>
    <x v="0"/>
    <x v="11"/>
    <x v="11"/>
    <x v="6"/>
    <x v="6"/>
    <x v="6"/>
    <x v="14"/>
    <x v="169"/>
    <x v="32"/>
    <x v="142"/>
    <x v="184"/>
    <x v="99"/>
    <x v="164"/>
    <x v="0"/>
  </r>
  <r>
    <x v="0"/>
    <x v="11"/>
    <x v="11"/>
    <x v="11"/>
    <x v="11"/>
    <x v="11"/>
    <x v="15"/>
    <x v="170"/>
    <x v="15"/>
    <x v="100"/>
    <x v="185"/>
    <x v="132"/>
    <x v="157"/>
    <x v="0"/>
  </r>
  <r>
    <x v="0"/>
    <x v="11"/>
    <x v="11"/>
    <x v="41"/>
    <x v="41"/>
    <x v="41"/>
    <x v="16"/>
    <x v="151"/>
    <x v="61"/>
    <x v="68"/>
    <x v="97"/>
    <x v="95"/>
    <x v="165"/>
    <x v="0"/>
  </r>
  <r>
    <x v="0"/>
    <x v="11"/>
    <x v="11"/>
    <x v="42"/>
    <x v="42"/>
    <x v="42"/>
    <x v="17"/>
    <x v="120"/>
    <x v="114"/>
    <x v="49"/>
    <x v="179"/>
    <x v="95"/>
    <x v="165"/>
    <x v="0"/>
  </r>
  <r>
    <x v="0"/>
    <x v="11"/>
    <x v="11"/>
    <x v="43"/>
    <x v="43"/>
    <x v="43"/>
    <x v="17"/>
    <x v="120"/>
    <x v="114"/>
    <x v="140"/>
    <x v="181"/>
    <x v="138"/>
    <x v="152"/>
    <x v="0"/>
  </r>
  <r>
    <x v="0"/>
    <x v="11"/>
    <x v="11"/>
    <x v="12"/>
    <x v="12"/>
    <x v="12"/>
    <x v="17"/>
    <x v="120"/>
    <x v="114"/>
    <x v="138"/>
    <x v="178"/>
    <x v="139"/>
    <x v="166"/>
    <x v="0"/>
  </r>
  <r>
    <x v="0"/>
    <x v="12"/>
    <x v="12"/>
    <x v="5"/>
    <x v="5"/>
    <x v="5"/>
    <x v="0"/>
    <x v="171"/>
    <x v="147"/>
    <x v="143"/>
    <x v="186"/>
    <x v="140"/>
    <x v="16"/>
    <x v="0"/>
  </r>
  <r>
    <x v="0"/>
    <x v="12"/>
    <x v="12"/>
    <x v="0"/>
    <x v="0"/>
    <x v="0"/>
    <x v="1"/>
    <x v="172"/>
    <x v="148"/>
    <x v="144"/>
    <x v="187"/>
    <x v="141"/>
    <x v="84"/>
    <x v="0"/>
  </r>
  <r>
    <x v="0"/>
    <x v="12"/>
    <x v="12"/>
    <x v="2"/>
    <x v="2"/>
    <x v="2"/>
    <x v="2"/>
    <x v="173"/>
    <x v="149"/>
    <x v="16"/>
    <x v="188"/>
    <x v="142"/>
    <x v="167"/>
    <x v="0"/>
  </r>
  <r>
    <x v="0"/>
    <x v="12"/>
    <x v="12"/>
    <x v="3"/>
    <x v="3"/>
    <x v="3"/>
    <x v="3"/>
    <x v="174"/>
    <x v="150"/>
    <x v="145"/>
    <x v="99"/>
    <x v="124"/>
    <x v="86"/>
    <x v="0"/>
  </r>
  <r>
    <x v="0"/>
    <x v="12"/>
    <x v="12"/>
    <x v="1"/>
    <x v="1"/>
    <x v="1"/>
    <x v="4"/>
    <x v="175"/>
    <x v="151"/>
    <x v="41"/>
    <x v="189"/>
    <x v="143"/>
    <x v="168"/>
    <x v="0"/>
  </r>
  <r>
    <x v="0"/>
    <x v="12"/>
    <x v="12"/>
    <x v="13"/>
    <x v="13"/>
    <x v="13"/>
    <x v="5"/>
    <x v="176"/>
    <x v="152"/>
    <x v="51"/>
    <x v="190"/>
    <x v="144"/>
    <x v="169"/>
    <x v="1"/>
  </r>
  <r>
    <x v="0"/>
    <x v="12"/>
    <x v="12"/>
    <x v="9"/>
    <x v="9"/>
    <x v="9"/>
    <x v="6"/>
    <x v="82"/>
    <x v="68"/>
    <x v="26"/>
    <x v="122"/>
    <x v="100"/>
    <x v="40"/>
    <x v="1"/>
  </r>
  <r>
    <x v="0"/>
    <x v="12"/>
    <x v="12"/>
    <x v="19"/>
    <x v="19"/>
    <x v="19"/>
    <x v="7"/>
    <x v="177"/>
    <x v="97"/>
    <x v="41"/>
    <x v="189"/>
    <x v="68"/>
    <x v="118"/>
    <x v="0"/>
  </r>
  <r>
    <x v="0"/>
    <x v="12"/>
    <x v="12"/>
    <x v="6"/>
    <x v="6"/>
    <x v="6"/>
    <x v="7"/>
    <x v="177"/>
    <x v="97"/>
    <x v="146"/>
    <x v="191"/>
    <x v="47"/>
    <x v="170"/>
    <x v="0"/>
  </r>
  <r>
    <x v="0"/>
    <x v="12"/>
    <x v="12"/>
    <x v="16"/>
    <x v="16"/>
    <x v="16"/>
    <x v="9"/>
    <x v="115"/>
    <x v="99"/>
    <x v="147"/>
    <x v="44"/>
    <x v="145"/>
    <x v="171"/>
    <x v="0"/>
  </r>
  <r>
    <x v="0"/>
    <x v="12"/>
    <x v="12"/>
    <x v="15"/>
    <x v="15"/>
    <x v="15"/>
    <x v="10"/>
    <x v="178"/>
    <x v="153"/>
    <x v="46"/>
    <x v="192"/>
    <x v="146"/>
    <x v="172"/>
    <x v="0"/>
  </r>
  <r>
    <x v="0"/>
    <x v="12"/>
    <x v="12"/>
    <x v="44"/>
    <x v="44"/>
    <x v="44"/>
    <x v="11"/>
    <x v="179"/>
    <x v="100"/>
    <x v="148"/>
    <x v="193"/>
    <x v="48"/>
    <x v="4"/>
    <x v="0"/>
  </r>
  <r>
    <x v="0"/>
    <x v="12"/>
    <x v="12"/>
    <x v="12"/>
    <x v="12"/>
    <x v="12"/>
    <x v="12"/>
    <x v="180"/>
    <x v="138"/>
    <x v="149"/>
    <x v="194"/>
    <x v="147"/>
    <x v="52"/>
    <x v="0"/>
  </r>
  <r>
    <x v="0"/>
    <x v="12"/>
    <x v="12"/>
    <x v="45"/>
    <x v="45"/>
    <x v="45"/>
    <x v="13"/>
    <x v="181"/>
    <x v="55"/>
    <x v="150"/>
    <x v="148"/>
    <x v="33"/>
    <x v="61"/>
    <x v="0"/>
  </r>
  <r>
    <x v="0"/>
    <x v="12"/>
    <x v="12"/>
    <x v="34"/>
    <x v="34"/>
    <x v="34"/>
    <x v="14"/>
    <x v="182"/>
    <x v="8"/>
    <x v="66"/>
    <x v="195"/>
    <x v="148"/>
    <x v="173"/>
    <x v="7"/>
  </r>
  <r>
    <x v="0"/>
    <x v="12"/>
    <x v="12"/>
    <x v="46"/>
    <x v="46"/>
    <x v="46"/>
    <x v="15"/>
    <x v="183"/>
    <x v="154"/>
    <x v="151"/>
    <x v="196"/>
    <x v="65"/>
    <x v="174"/>
    <x v="0"/>
  </r>
  <r>
    <x v="0"/>
    <x v="12"/>
    <x v="12"/>
    <x v="36"/>
    <x v="36"/>
    <x v="36"/>
    <x v="16"/>
    <x v="184"/>
    <x v="28"/>
    <x v="78"/>
    <x v="197"/>
    <x v="149"/>
    <x v="175"/>
    <x v="0"/>
  </r>
  <r>
    <x v="0"/>
    <x v="12"/>
    <x v="12"/>
    <x v="35"/>
    <x v="35"/>
    <x v="35"/>
    <x v="17"/>
    <x v="185"/>
    <x v="58"/>
    <x v="76"/>
    <x v="164"/>
    <x v="150"/>
    <x v="176"/>
    <x v="1"/>
  </r>
  <r>
    <x v="0"/>
    <x v="12"/>
    <x v="12"/>
    <x v="47"/>
    <x v="47"/>
    <x v="47"/>
    <x v="18"/>
    <x v="186"/>
    <x v="12"/>
    <x v="152"/>
    <x v="198"/>
    <x v="46"/>
    <x v="177"/>
    <x v="0"/>
  </r>
  <r>
    <x v="0"/>
    <x v="12"/>
    <x v="12"/>
    <x v="41"/>
    <x v="41"/>
    <x v="41"/>
    <x v="19"/>
    <x v="187"/>
    <x v="155"/>
    <x v="50"/>
    <x v="161"/>
    <x v="151"/>
    <x v="110"/>
    <x v="0"/>
  </r>
  <r>
    <x v="0"/>
    <x v="13"/>
    <x v="13"/>
    <x v="1"/>
    <x v="1"/>
    <x v="1"/>
    <x v="0"/>
    <x v="188"/>
    <x v="156"/>
    <x v="153"/>
    <x v="199"/>
    <x v="152"/>
    <x v="178"/>
    <x v="0"/>
  </r>
  <r>
    <x v="0"/>
    <x v="13"/>
    <x v="13"/>
    <x v="0"/>
    <x v="0"/>
    <x v="0"/>
    <x v="1"/>
    <x v="189"/>
    <x v="157"/>
    <x v="154"/>
    <x v="200"/>
    <x v="91"/>
    <x v="167"/>
    <x v="0"/>
  </r>
  <r>
    <x v="0"/>
    <x v="13"/>
    <x v="13"/>
    <x v="2"/>
    <x v="2"/>
    <x v="2"/>
    <x v="2"/>
    <x v="190"/>
    <x v="95"/>
    <x v="155"/>
    <x v="201"/>
    <x v="40"/>
    <x v="2"/>
    <x v="0"/>
  </r>
  <r>
    <x v="0"/>
    <x v="13"/>
    <x v="13"/>
    <x v="15"/>
    <x v="15"/>
    <x v="15"/>
    <x v="3"/>
    <x v="191"/>
    <x v="158"/>
    <x v="134"/>
    <x v="202"/>
    <x v="147"/>
    <x v="179"/>
    <x v="0"/>
  </r>
  <r>
    <x v="0"/>
    <x v="13"/>
    <x v="13"/>
    <x v="6"/>
    <x v="6"/>
    <x v="6"/>
    <x v="4"/>
    <x v="169"/>
    <x v="159"/>
    <x v="88"/>
    <x v="203"/>
    <x v="63"/>
    <x v="51"/>
    <x v="0"/>
  </r>
  <r>
    <x v="0"/>
    <x v="13"/>
    <x v="13"/>
    <x v="9"/>
    <x v="9"/>
    <x v="9"/>
    <x v="5"/>
    <x v="86"/>
    <x v="152"/>
    <x v="156"/>
    <x v="204"/>
    <x v="153"/>
    <x v="180"/>
    <x v="0"/>
  </r>
  <r>
    <x v="0"/>
    <x v="13"/>
    <x v="13"/>
    <x v="5"/>
    <x v="5"/>
    <x v="5"/>
    <x v="6"/>
    <x v="121"/>
    <x v="107"/>
    <x v="157"/>
    <x v="205"/>
    <x v="43"/>
    <x v="181"/>
    <x v="0"/>
  </r>
  <r>
    <x v="0"/>
    <x v="13"/>
    <x v="13"/>
    <x v="4"/>
    <x v="4"/>
    <x v="4"/>
    <x v="7"/>
    <x v="192"/>
    <x v="108"/>
    <x v="158"/>
    <x v="206"/>
    <x v="45"/>
    <x v="182"/>
    <x v="0"/>
  </r>
  <r>
    <x v="0"/>
    <x v="13"/>
    <x v="13"/>
    <x v="13"/>
    <x v="13"/>
    <x v="13"/>
    <x v="8"/>
    <x v="193"/>
    <x v="23"/>
    <x v="74"/>
    <x v="174"/>
    <x v="154"/>
    <x v="183"/>
    <x v="1"/>
  </r>
  <r>
    <x v="0"/>
    <x v="13"/>
    <x v="13"/>
    <x v="8"/>
    <x v="8"/>
    <x v="8"/>
    <x v="9"/>
    <x v="56"/>
    <x v="160"/>
    <x v="128"/>
    <x v="19"/>
    <x v="155"/>
    <x v="184"/>
    <x v="0"/>
  </r>
  <r>
    <x v="0"/>
    <x v="13"/>
    <x v="13"/>
    <x v="16"/>
    <x v="16"/>
    <x v="16"/>
    <x v="10"/>
    <x v="194"/>
    <x v="161"/>
    <x v="147"/>
    <x v="207"/>
    <x v="156"/>
    <x v="118"/>
    <x v="0"/>
  </r>
  <r>
    <x v="0"/>
    <x v="13"/>
    <x v="13"/>
    <x v="14"/>
    <x v="14"/>
    <x v="14"/>
    <x v="11"/>
    <x v="195"/>
    <x v="162"/>
    <x v="68"/>
    <x v="208"/>
    <x v="154"/>
    <x v="183"/>
    <x v="0"/>
  </r>
  <r>
    <x v="0"/>
    <x v="13"/>
    <x v="13"/>
    <x v="3"/>
    <x v="3"/>
    <x v="3"/>
    <x v="12"/>
    <x v="154"/>
    <x v="163"/>
    <x v="159"/>
    <x v="209"/>
    <x v="52"/>
    <x v="144"/>
    <x v="0"/>
  </r>
  <r>
    <x v="0"/>
    <x v="13"/>
    <x v="13"/>
    <x v="35"/>
    <x v="35"/>
    <x v="35"/>
    <x v="13"/>
    <x v="103"/>
    <x v="30"/>
    <x v="76"/>
    <x v="33"/>
    <x v="132"/>
    <x v="185"/>
    <x v="1"/>
  </r>
  <r>
    <x v="0"/>
    <x v="13"/>
    <x v="13"/>
    <x v="48"/>
    <x v="48"/>
    <x v="48"/>
    <x v="14"/>
    <x v="104"/>
    <x v="11"/>
    <x v="97"/>
    <x v="210"/>
    <x v="86"/>
    <x v="186"/>
    <x v="0"/>
  </r>
  <r>
    <x v="0"/>
    <x v="13"/>
    <x v="13"/>
    <x v="7"/>
    <x v="7"/>
    <x v="7"/>
    <x v="15"/>
    <x v="95"/>
    <x v="164"/>
    <x v="80"/>
    <x v="66"/>
    <x v="139"/>
    <x v="110"/>
    <x v="0"/>
  </r>
  <r>
    <x v="0"/>
    <x v="13"/>
    <x v="13"/>
    <x v="28"/>
    <x v="28"/>
    <x v="28"/>
    <x v="15"/>
    <x v="95"/>
    <x v="164"/>
    <x v="63"/>
    <x v="89"/>
    <x v="157"/>
    <x v="187"/>
    <x v="0"/>
  </r>
  <r>
    <x v="0"/>
    <x v="13"/>
    <x v="13"/>
    <x v="17"/>
    <x v="17"/>
    <x v="17"/>
    <x v="17"/>
    <x v="96"/>
    <x v="45"/>
    <x v="66"/>
    <x v="127"/>
    <x v="87"/>
    <x v="188"/>
    <x v="0"/>
  </r>
  <r>
    <x v="0"/>
    <x v="13"/>
    <x v="13"/>
    <x v="32"/>
    <x v="32"/>
    <x v="32"/>
    <x v="18"/>
    <x v="97"/>
    <x v="32"/>
    <x v="47"/>
    <x v="211"/>
    <x v="27"/>
    <x v="189"/>
    <x v="0"/>
  </r>
  <r>
    <x v="0"/>
    <x v="13"/>
    <x v="13"/>
    <x v="11"/>
    <x v="11"/>
    <x v="11"/>
    <x v="19"/>
    <x v="106"/>
    <x v="133"/>
    <x v="43"/>
    <x v="212"/>
    <x v="22"/>
    <x v="190"/>
    <x v="0"/>
  </r>
  <r>
    <x v="0"/>
    <x v="14"/>
    <x v="14"/>
    <x v="0"/>
    <x v="0"/>
    <x v="0"/>
    <x v="0"/>
    <x v="196"/>
    <x v="165"/>
    <x v="150"/>
    <x v="213"/>
    <x v="123"/>
    <x v="191"/>
    <x v="0"/>
  </r>
  <r>
    <x v="0"/>
    <x v="14"/>
    <x v="14"/>
    <x v="1"/>
    <x v="1"/>
    <x v="1"/>
    <x v="1"/>
    <x v="85"/>
    <x v="166"/>
    <x v="87"/>
    <x v="214"/>
    <x v="158"/>
    <x v="192"/>
    <x v="0"/>
  </r>
  <r>
    <x v="0"/>
    <x v="14"/>
    <x v="14"/>
    <x v="7"/>
    <x v="7"/>
    <x v="7"/>
    <x v="2"/>
    <x v="197"/>
    <x v="38"/>
    <x v="76"/>
    <x v="67"/>
    <x v="155"/>
    <x v="193"/>
    <x v="0"/>
  </r>
  <r>
    <x v="0"/>
    <x v="14"/>
    <x v="14"/>
    <x v="6"/>
    <x v="6"/>
    <x v="6"/>
    <x v="3"/>
    <x v="105"/>
    <x v="167"/>
    <x v="91"/>
    <x v="215"/>
    <x v="64"/>
    <x v="194"/>
    <x v="0"/>
  </r>
  <r>
    <x v="0"/>
    <x v="14"/>
    <x v="14"/>
    <x v="9"/>
    <x v="9"/>
    <x v="9"/>
    <x v="4"/>
    <x v="126"/>
    <x v="40"/>
    <x v="39"/>
    <x v="216"/>
    <x v="65"/>
    <x v="133"/>
    <x v="0"/>
  </r>
  <r>
    <x v="0"/>
    <x v="14"/>
    <x v="14"/>
    <x v="4"/>
    <x v="4"/>
    <x v="4"/>
    <x v="5"/>
    <x v="198"/>
    <x v="129"/>
    <x v="30"/>
    <x v="217"/>
    <x v="51"/>
    <x v="23"/>
    <x v="0"/>
  </r>
  <r>
    <x v="0"/>
    <x v="14"/>
    <x v="14"/>
    <x v="17"/>
    <x v="17"/>
    <x v="17"/>
    <x v="6"/>
    <x v="45"/>
    <x v="56"/>
    <x v="55"/>
    <x v="52"/>
    <x v="92"/>
    <x v="195"/>
    <x v="0"/>
  </r>
  <r>
    <x v="0"/>
    <x v="14"/>
    <x v="14"/>
    <x v="5"/>
    <x v="5"/>
    <x v="5"/>
    <x v="6"/>
    <x v="45"/>
    <x v="56"/>
    <x v="61"/>
    <x v="218"/>
    <x v="56"/>
    <x v="54"/>
    <x v="0"/>
  </r>
  <r>
    <x v="0"/>
    <x v="14"/>
    <x v="14"/>
    <x v="14"/>
    <x v="14"/>
    <x v="14"/>
    <x v="8"/>
    <x v="46"/>
    <x v="168"/>
    <x v="59"/>
    <x v="219"/>
    <x v="70"/>
    <x v="196"/>
    <x v="0"/>
  </r>
  <r>
    <x v="0"/>
    <x v="14"/>
    <x v="14"/>
    <x v="2"/>
    <x v="2"/>
    <x v="2"/>
    <x v="9"/>
    <x v="107"/>
    <x v="169"/>
    <x v="134"/>
    <x v="220"/>
    <x v="45"/>
    <x v="197"/>
    <x v="0"/>
  </r>
  <r>
    <x v="0"/>
    <x v="14"/>
    <x v="14"/>
    <x v="8"/>
    <x v="8"/>
    <x v="8"/>
    <x v="10"/>
    <x v="199"/>
    <x v="10"/>
    <x v="66"/>
    <x v="221"/>
    <x v="85"/>
    <x v="146"/>
    <x v="0"/>
  </r>
  <r>
    <x v="0"/>
    <x v="14"/>
    <x v="14"/>
    <x v="28"/>
    <x v="28"/>
    <x v="28"/>
    <x v="10"/>
    <x v="199"/>
    <x v="10"/>
    <x v="78"/>
    <x v="222"/>
    <x v="159"/>
    <x v="188"/>
    <x v="0"/>
  </r>
  <r>
    <x v="0"/>
    <x v="14"/>
    <x v="14"/>
    <x v="10"/>
    <x v="10"/>
    <x v="10"/>
    <x v="12"/>
    <x v="48"/>
    <x v="44"/>
    <x v="160"/>
    <x v="223"/>
    <x v="76"/>
    <x v="181"/>
    <x v="0"/>
  </r>
  <r>
    <x v="0"/>
    <x v="14"/>
    <x v="14"/>
    <x v="16"/>
    <x v="16"/>
    <x v="16"/>
    <x v="12"/>
    <x v="48"/>
    <x v="44"/>
    <x v="97"/>
    <x v="139"/>
    <x v="85"/>
    <x v="146"/>
    <x v="0"/>
  </r>
  <r>
    <x v="0"/>
    <x v="14"/>
    <x v="14"/>
    <x v="49"/>
    <x v="49"/>
    <x v="49"/>
    <x v="14"/>
    <x v="109"/>
    <x v="170"/>
    <x v="66"/>
    <x v="221"/>
    <x v="159"/>
    <x v="188"/>
    <x v="0"/>
  </r>
  <r>
    <x v="0"/>
    <x v="14"/>
    <x v="14"/>
    <x v="21"/>
    <x v="21"/>
    <x v="21"/>
    <x v="14"/>
    <x v="109"/>
    <x v="170"/>
    <x v="80"/>
    <x v="224"/>
    <x v="49"/>
    <x v="95"/>
    <x v="0"/>
  </r>
  <r>
    <x v="0"/>
    <x v="14"/>
    <x v="14"/>
    <x v="19"/>
    <x v="19"/>
    <x v="19"/>
    <x v="16"/>
    <x v="112"/>
    <x v="131"/>
    <x v="79"/>
    <x v="26"/>
    <x v="83"/>
    <x v="152"/>
    <x v="0"/>
  </r>
  <r>
    <x v="0"/>
    <x v="14"/>
    <x v="14"/>
    <x v="15"/>
    <x v="15"/>
    <x v="15"/>
    <x v="17"/>
    <x v="49"/>
    <x v="132"/>
    <x v="97"/>
    <x v="139"/>
    <x v="62"/>
    <x v="15"/>
    <x v="0"/>
  </r>
  <r>
    <x v="0"/>
    <x v="14"/>
    <x v="14"/>
    <x v="3"/>
    <x v="3"/>
    <x v="3"/>
    <x v="17"/>
    <x v="49"/>
    <x v="132"/>
    <x v="61"/>
    <x v="218"/>
    <x v="51"/>
    <x v="23"/>
    <x v="0"/>
  </r>
  <r>
    <x v="0"/>
    <x v="14"/>
    <x v="14"/>
    <x v="23"/>
    <x v="23"/>
    <x v="23"/>
    <x v="19"/>
    <x v="50"/>
    <x v="13"/>
    <x v="52"/>
    <x v="49"/>
    <x v="54"/>
    <x v="25"/>
    <x v="0"/>
  </r>
  <r>
    <x v="0"/>
    <x v="14"/>
    <x v="14"/>
    <x v="12"/>
    <x v="12"/>
    <x v="12"/>
    <x v="19"/>
    <x v="50"/>
    <x v="13"/>
    <x v="54"/>
    <x v="51"/>
    <x v="56"/>
    <x v="54"/>
    <x v="0"/>
  </r>
  <r>
    <x v="0"/>
    <x v="15"/>
    <x v="15"/>
    <x v="1"/>
    <x v="1"/>
    <x v="1"/>
    <x v="0"/>
    <x v="84"/>
    <x v="171"/>
    <x v="42"/>
    <x v="225"/>
    <x v="160"/>
    <x v="198"/>
    <x v="0"/>
  </r>
  <r>
    <x v="0"/>
    <x v="15"/>
    <x v="15"/>
    <x v="0"/>
    <x v="0"/>
    <x v="0"/>
    <x v="1"/>
    <x v="200"/>
    <x v="172"/>
    <x v="161"/>
    <x v="226"/>
    <x v="76"/>
    <x v="10"/>
    <x v="0"/>
  </r>
  <r>
    <x v="0"/>
    <x v="15"/>
    <x v="15"/>
    <x v="4"/>
    <x v="4"/>
    <x v="4"/>
    <x v="2"/>
    <x v="97"/>
    <x v="173"/>
    <x v="110"/>
    <x v="227"/>
    <x v="46"/>
    <x v="46"/>
    <x v="0"/>
  </r>
  <r>
    <x v="0"/>
    <x v="15"/>
    <x v="15"/>
    <x v="2"/>
    <x v="2"/>
    <x v="2"/>
    <x v="3"/>
    <x v="198"/>
    <x v="37"/>
    <x v="90"/>
    <x v="228"/>
    <x v="58"/>
    <x v="199"/>
    <x v="0"/>
  </r>
  <r>
    <x v="0"/>
    <x v="15"/>
    <x v="15"/>
    <x v="6"/>
    <x v="6"/>
    <x v="6"/>
    <x v="4"/>
    <x v="107"/>
    <x v="167"/>
    <x v="46"/>
    <x v="4"/>
    <x v="58"/>
    <x v="199"/>
    <x v="0"/>
  </r>
  <r>
    <x v="0"/>
    <x v="15"/>
    <x v="15"/>
    <x v="16"/>
    <x v="16"/>
    <x v="16"/>
    <x v="5"/>
    <x v="71"/>
    <x v="50"/>
    <x v="76"/>
    <x v="229"/>
    <x v="61"/>
    <x v="200"/>
    <x v="0"/>
  </r>
  <r>
    <x v="0"/>
    <x v="15"/>
    <x v="15"/>
    <x v="15"/>
    <x v="15"/>
    <x v="15"/>
    <x v="6"/>
    <x v="110"/>
    <x v="174"/>
    <x v="78"/>
    <x v="230"/>
    <x v="153"/>
    <x v="26"/>
    <x v="0"/>
  </r>
  <r>
    <x v="0"/>
    <x v="15"/>
    <x v="15"/>
    <x v="5"/>
    <x v="5"/>
    <x v="5"/>
    <x v="6"/>
    <x v="110"/>
    <x v="174"/>
    <x v="48"/>
    <x v="231"/>
    <x v="52"/>
    <x v="201"/>
    <x v="0"/>
  </r>
  <r>
    <x v="0"/>
    <x v="15"/>
    <x v="15"/>
    <x v="9"/>
    <x v="9"/>
    <x v="9"/>
    <x v="8"/>
    <x v="50"/>
    <x v="24"/>
    <x v="64"/>
    <x v="232"/>
    <x v="64"/>
    <x v="145"/>
    <x v="0"/>
  </r>
  <r>
    <x v="0"/>
    <x v="15"/>
    <x v="15"/>
    <x v="28"/>
    <x v="28"/>
    <x v="28"/>
    <x v="9"/>
    <x v="113"/>
    <x v="175"/>
    <x v="53"/>
    <x v="233"/>
    <x v="90"/>
    <x v="202"/>
    <x v="0"/>
  </r>
  <r>
    <x v="0"/>
    <x v="15"/>
    <x v="15"/>
    <x v="14"/>
    <x v="14"/>
    <x v="14"/>
    <x v="10"/>
    <x v="52"/>
    <x v="176"/>
    <x v="77"/>
    <x v="164"/>
    <x v="50"/>
    <x v="203"/>
    <x v="0"/>
  </r>
  <r>
    <x v="0"/>
    <x v="15"/>
    <x v="15"/>
    <x v="32"/>
    <x v="32"/>
    <x v="32"/>
    <x v="10"/>
    <x v="52"/>
    <x v="176"/>
    <x v="47"/>
    <x v="234"/>
    <x v="83"/>
    <x v="204"/>
    <x v="0"/>
  </r>
  <r>
    <x v="0"/>
    <x v="15"/>
    <x v="15"/>
    <x v="8"/>
    <x v="8"/>
    <x v="8"/>
    <x v="10"/>
    <x v="52"/>
    <x v="176"/>
    <x v="66"/>
    <x v="235"/>
    <x v="94"/>
    <x v="79"/>
    <x v="0"/>
  </r>
  <r>
    <x v="0"/>
    <x v="15"/>
    <x v="15"/>
    <x v="50"/>
    <x v="50"/>
    <x v="50"/>
    <x v="13"/>
    <x v="62"/>
    <x v="73"/>
    <x v="162"/>
    <x v="236"/>
    <x v="50"/>
    <x v="203"/>
    <x v="0"/>
  </r>
  <r>
    <x v="0"/>
    <x v="15"/>
    <x v="15"/>
    <x v="10"/>
    <x v="10"/>
    <x v="10"/>
    <x v="14"/>
    <x v="201"/>
    <x v="170"/>
    <x v="69"/>
    <x v="81"/>
    <x v="53"/>
    <x v="205"/>
    <x v="0"/>
  </r>
  <r>
    <x v="0"/>
    <x v="15"/>
    <x v="15"/>
    <x v="11"/>
    <x v="11"/>
    <x v="11"/>
    <x v="15"/>
    <x v="72"/>
    <x v="146"/>
    <x v="73"/>
    <x v="237"/>
    <x v="53"/>
    <x v="205"/>
    <x v="0"/>
  </r>
  <r>
    <x v="0"/>
    <x v="15"/>
    <x v="15"/>
    <x v="13"/>
    <x v="13"/>
    <x v="13"/>
    <x v="16"/>
    <x v="202"/>
    <x v="59"/>
    <x v="67"/>
    <x v="46"/>
    <x v="99"/>
    <x v="32"/>
    <x v="0"/>
  </r>
  <r>
    <x v="0"/>
    <x v="15"/>
    <x v="15"/>
    <x v="17"/>
    <x v="17"/>
    <x v="17"/>
    <x v="17"/>
    <x v="54"/>
    <x v="112"/>
    <x v="67"/>
    <x v="46"/>
    <x v="22"/>
    <x v="176"/>
    <x v="0"/>
  </r>
  <r>
    <x v="0"/>
    <x v="15"/>
    <x v="15"/>
    <x v="48"/>
    <x v="48"/>
    <x v="48"/>
    <x v="18"/>
    <x v="55"/>
    <x v="113"/>
    <x v="67"/>
    <x v="46"/>
    <x v="94"/>
    <x v="79"/>
    <x v="0"/>
  </r>
  <r>
    <x v="0"/>
    <x v="15"/>
    <x v="15"/>
    <x v="21"/>
    <x v="21"/>
    <x v="21"/>
    <x v="18"/>
    <x v="55"/>
    <x v="113"/>
    <x v="68"/>
    <x v="238"/>
    <x v="63"/>
    <x v="206"/>
    <x v="0"/>
  </r>
  <r>
    <x v="0"/>
    <x v="15"/>
    <x v="15"/>
    <x v="35"/>
    <x v="35"/>
    <x v="35"/>
    <x v="18"/>
    <x v="55"/>
    <x v="113"/>
    <x v="77"/>
    <x v="164"/>
    <x v="99"/>
    <x v="32"/>
    <x v="0"/>
  </r>
  <r>
    <x v="0"/>
    <x v="16"/>
    <x v="16"/>
    <x v="0"/>
    <x v="0"/>
    <x v="0"/>
    <x v="0"/>
    <x v="203"/>
    <x v="177"/>
    <x v="36"/>
    <x v="239"/>
    <x v="50"/>
    <x v="187"/>
    <x v="0"/>
  </r>
  <r>
    <x v="0"/>
    <x v="16"/>
    <x v="16"/>
    <x v="1"/>
    <x v="1"/>
    <x v="1"/>
    <x v="1"/>
    <x v="204"/>
    <x v="178"/>
    <x v="51"/>
    <x v="237"/>
    <x v="150"/>
    <x v="207"/>
    <x v="0"/>
  </r>
  <r>
    <x v="0"/>
    <x v="16"/>
    <x v="16"/>
    <x v="2"/>
    <x v="2"/>
    <x v="2"/>
    <x v="2"/>
    <x v="205"/>
    <x v="179"/>
    <x v="163"/>
    <x v="240"/>
    <x v="59"/>
    <x v="208"/>
    <x v="0"/>
  </r>
  <r>
    <x v="0"/>
    <x v="16"/>
    <x v="16"/>
    <x v="4"/>
    <x v="4"/>
    <x v="4"/>
    <x v="3"/>
    <x v="206"/>
    <x v="180"/>
    <x v="164"/>
    <x v="241"/>
    <x v="44"/>
    <x v="209"/>
    <x v="0"/>
  </r>
  <r>
    <x v="0"/>
    <x v="16"/>
    <x v="16"/>
    <x v="5"/>
    <x v="5"/>
    <x v="5"/>
    <x v="4"/>
    <x v="207"/>
    <x v="21"/>
    <x v="94"/>
    <x v="242"/>
    <x v="40"/>
    <x v="181"/>
    <x v="0"/>
  </r>
  <r>
    <x v="0"/>
    <x v="16"/>
    <x v="16"/>
    <x v="6"/>
    <x v="6"/>
    <x v="6"/>
    <x v="5"/>
    <x v="41"/>
    <x v="181"/>
    <x v="165"/>
    <x v="243"/>
    <x v="67"/>
    <x v="86"/>
    <x v="0"/>
  </r>
  <r>
    <x v="0"/>
    <x v="16"/>
    <x v="16"/>
    <x v="9"/>
    <x v="9"/>
    <x v="9"/>
    <x v="6"/>
    <x v="194"/>
    <x v="2"/>
    <x v="108"/>
    <x v="108"/>
    <x v="99"/>
    <x v="210"/>
    <x v="0"/>
  </r>
  <r>
    <x v="0"/>
    <x v="16"/>
    <x v="16"/>
    <x v="16"/>
    <x v="16"/>
    <x v="16"/>
    <x v="7"/>
    <x v="125"/>
    <x v="182"/>
    <x v="53"/>
    <x v="158"/>
    <x v="142"/>
    <x v="211"/>
    <x v="0"/>
  </r>
  <r>
    <x v="0"/>
    <x v="16"/>
    <x v="16"/>
    <x v="3"/>
    <x v="3"/>
    <x v="3"/>
    <x v="8"/>
    <x v="104"/>
    <x v="183"/>
    <x v="166"/>
    <x v="244"/>
    <x v="55"/>
    <x v="72"/>
    <x v="0"/>
  </r>
  <r>
    <x v="0"/>
    <x v="16"/>
    <x v="16"/>
    <x v="8"/>
    <x v="8"/>
    <x v="8"/>
    <x v="9"/>
    <x v="95"/>
    <x v="56"/>
    <x v="79"/>
    <x v="109"/>
    <x v="88"/>
    <x v="212"/>
    <x v="0"/>
  </r>
  <r>
    <x v="0"/>
    <x v="16"/>
    <x v="16"/>
    <x v="7"/>
    <x v="7"/>
    <x v="7"/>
    <x v="10"/>
    <x v="208"/>
    <x v="9"/>
    <x v="96"/>
    <x v="234"/>
    <x v="101"/>
    <x v="213"/>
    <x v="0"/>
  </r>
  <r>
    <x v="0"/>
    <x v="16"/>
    <x v="16"/>
    <x v="10"/>
    <x v="10"/>
    <x v="10"/>
    <x v="11"/>
    <x v="209"/>
    <x v="184"/>
    <x v="72"/>
    <x v="245"/>
    <x v="94"/>
    <x v="148"/>
    <x v="0"/>
  </r>
  <r>
    <x v="0"/>
    <x v="16"/>
    <x v="16"/>
    <x v="28"/>
    <x v="28"/>
    <x v="28"/>
    <x v="12"/>
    <x v="210"/>
    <x v="44"/>
    <x v="103"/>
    <x v="246"/>
    <x v="111"/>
    <x v="202"/>
    <x v="0"/>
  </r>
  <r>
    <x v="0"/>
    <x v="16"/>
    <x v="16"/>
    <x v="13"/>
    <x v="13"/>
    <x v="13"/>
    <x v="13"/>
    <x v="198"/>
    <x v="73"/>
    <x v="68"/>
    <x v="211"/>
    <x v="71"/>
    <x v="214"/>
    <x v="0"/>
  </r>
  <r>
    <x v="0"/>
    <x v="16"/>
    <x v="16"/>
    <x v="15"/>
    <x v="15"/>
    <x v="15"/>
    <x v="14"/>
    <x v="43"/>
    <x v="123"/>
    <x v="52"/>
    <x v="222"/>
    <x v="85"/>
    <x v="67"/>
    <x v="0"/>
  </r>
  <r>
    <x v="0"/>
    <x v="16"/>
    <x v="16"/>
    <x v="17"/>
    <x v="17"/>
    <x v="17"/>
    <x v="15"/>
    <x v="155"/>
    <x v="185"/>
    <x v="147"/>
    <x v="247"/>
    <x v="85"/>
    <x v="67"/>
    <x v="0"/>
  </r>
  <r>
    <x v="0"/>
    <x v="16"/>
    <x v="16"/>
    <x v="21"/>
    <x v="21"/>
    <x v="21"/>
    <x v="16"/>
    <x v="211"/>
    <x v="186"/>
    <x v="78"/>
    <x v="229"/>
    <x v="124"/>
    <x v="215"/>
    <x v="1"/>
  </r>
  <r>
    <x v="0"/>
    <x v="16"/>
    <x v="16"/>
    <x v="29"/>
    <x v="29"/>
    <x v="29"/>
    <x v="16"/>
    <x v="211"/>
    <x v="186"/>
    <x v="167"/>
    <x v="65"/>
    <x v="60"/>
    <x v="216"/>
    <x v="0"/>
  </r>
  <r>
    <x v="0"/>
    <x v="16"/>
    <x v="16"/>
    <x v="32"/>
    <x v="32"/>
    <x v="32"/>
    <x v="18"/>
    <x v="156"/>
    <x v="12"/>
    <x v="62"/>
    <x v="156"/>
    <x v="124"/>
    <x v="215"/>
    <x v="0"/>
  </r>
  <r>
    <x v="0"/>
    <x v="16"/>
    <x v="16"/>
    <x v="35"/>
    <x v="35"/>
    <x v="35"/>
    <x v="19"/>
    <x v="46"/>
    <x v="102"/>
    <x v="76"/>
    <x v="46"/>
    <x v="126"/>
    <x v="92"/>
    <x v="0"/>
  </r>
  <r>
    <x v="0"/>
    <x v="17"/>
    <x v="17"/>
    <x v="0"/>
    <x v="0"/>
    <x v="0"/>
    <x v="0"/>
    <x v="212"/>
    <x v="187"/>
    <x v="168"/>
    <x v="248"/>
    <x v="57"/>
    <x v="217"/>
    <x v="0"/>
  </r>
  <r>
    <x v="0"/>
    <x v="17"/>
    <x v="17"/>
    <x v="3"/>
    <x v="3"/>
    <x v="3"/>
    <x v="1"/>
    <x v="196"/>
    <x v="188"/>
    <x v="169"/>
    <x v="249"/>
    <x v="51"/>
    <x v="218"/>
    <x v="0"/>
  </r>
  <r>
    <x v="0"/>
    <x v="17"/>
    <x v="17"/>
    <x v="4"/>
    <x v="4"/>
    <x v="4"/>
    <x v="2"/>
    <x v="195"/>
    <x v="66"/>
    <x v="130"/>
    <x v="250"/>
    <x v="44"/>
    <x v="96"/>
    <x v="0"/>
  </r>
  <r>
    <x v="0"/>
    <x v="17"/>
    <x v="17"/>
    <x v="1"/>
    <x v="1"/>
    <x v="1"/>
    <x v="3"/>
    <x v="124"/>
    <x v="189"/>
    <x v="46"/>
    <x v="63"/>
    <x v="41"/>
    <x v="219"/>
    <x v="0"/>
  </r>
  <r>
    <x v="0"/>
    <x v="17"/>
    <x v="17"/>
    <x v="6"/>
    <x v="6"/>
    <x v="6"/>
    <x v="4"/>
    <x v="91"/>
    <x v="67"/>
    <x v="108"/>
    <x v="251"/>
    <x v="55"/>
    <x v="62"/>
    <x v="0"/>
  </r>
  <r>
    <x v="0"/>
    <x v="17"/>
    <x v="17"/>
    <x v="11"/>
    <x v="11"/>
    <x v="11"/>
    <x v="5"/>
    <x v="92"/>
    <x v="20"/>
    <x v="45"/>
    <x v="140"/>
    <x v="97"/>
    <x v="220"/>
    <x v="0"/>
  </r>
  <r>
    <x v="0"/>
    <x v="17"/>
    <x v="17"/>
    <x v="10"/>
    <x v="10"/>
    <x v="10"/>
    <x v="6"/>
    <x v="209"/>
    <x v="190"/>
    <x v="170"/>
    <x v="252"/>
    <x v="99"/>
    <x v="109"/>
    <x v="0"/>
  </r>
  <r>
    <x v="0"/>
    <x v="17"/>
    <x v="17"/>
    <x v="2"/>
    <x v="2"/>
    <x v="2"/>
    <x v="7"/>
    <x v="97"/>
    <x v="191"/>
    <x v="41"/>
    <x v="198"/>
    <x v="58"/>
    <x v="3"/>
    <x v="0"/>
  </r>
  <r>
    <x v="0"/>
    <x v="17"/>
    <x v="17"/>
    <x v="12"/>
    <x v="12"/>
    <x v="12"/>
    <x v="8"/>
    <x v="106"/>
    <x v="51"/>
    <x v="112"/>
    <x v="172"/>
    <x v="23"/>
    <x v="221"/>
    <x v="1"/>
  </r>
  <r>
    <x v="0"/>
    <x v="17"/>
    <x v="17"/>
    <x v="5"/>
    <x v="5"/>
    <x v="5"/>
    <x v="9"/>
    <x v="127"/>
    <x v="7"/>
    <x v="89"/>
    <x v="253"/>
    <x v="55"/>
    <x v="62"/>
    <x v="0"/>
  </r>
  <r>
    <x v="0"/>
    <x v="17"/>
    <x v="17"/>
    <x v="8"/>
    <x v="8"/>
    <x v="8"/>
    <x v="10"/>
    <x v="70"/>
    <x v="54"/>
    <x v="75"/>
    <x v="82"/>
    <x v="111"/>
    <x v="121"/>
    <x v="0"/>
  </r>
  <r>
    <x v="0"/>
    <x v="17"/>
    <x v="17"/>
    <x v="7"/>
    <x v="7"/>
    <x v="7"/>
    <x v="11"/>
    <x v="44"/>
    <x v="130"/>
    <x v="66"/>
    <x v="145"/>
    <x v="161"/>
    <x v="222"/>
    <x v="0"/>
  </r>
  <r>
    <x v="0"/>
    <x v="17"/>
    <x v="17"/>
    <x v="14"/>
    <x v="14"/>
    <x v="14"/>
    <x v="12"/>
    <x v="107"/>
    <x v="8"/>
    <x v="96"/>
    <x v="156"/>
    <x v="41"/>
    <x v="219"/>
    <x v="0"/>
  </r>
  <r>
    <x v="0"/>
    <x v="17"/>
    <x v="17"/>
    <x v="19"/>
    <x v="19"/>
    <x v="19"/>
    <x v="13"/>
    <x v="48"/>
    <x v="154"/>
    <x v="63"/>
    <x v="254"/>
    <x v="94"/>
    <x v="223"/>
    <x v="0"/>
  </r>
  <r>
    <x v="0"/>
    <x v="17"/>
    <x v="17"/>
    <x v="9"/>
    <x v="9"/>
    <x v="9"/>
    <x v="14"/>
    <x v="71"/>
    <x v="139"/>
    <x v="61"/>
    <x v="185"/>
    <x v="59"/>
    <x v="170"/>
    <x v="0"/>
  </r>
  <r>
    <x v="0"/>
    <x v="17"/>
    <x v="17"/>
    <x v="18"/>
    <x v="18"/>
    <x v="18"/>
    <x v="15"/>
    <x v="109"/>
    <x v="192"/>
    <x v="98"/>
    <x v="255"/>
    <x v="55"/>
    <x v="62"/>
    <x v="0"/>
  </r>
  <r>
    <x v="0"/>
    <x v="17"/>
    <x v="17"/>
    <x v="33"/>
    <x v="33"/>
    <x v="33"/>
    <x v="16"/>
    <x v="59"/>
    <x v="32"/>
    <x v="54"/>
    <x v="256"/>
    <x v="53"/>
    <x v="37"/>
    <x v="0"/>
  </r>
  <r>
    <x v="0"/>
    <x v="17"/>
    <x v="17"/>
    <x v="51"/>
    <x v="51"/>
    <x v="51"/>
    <x v="16"/>
    <x v="59"/>
    <x v="32"/>
    <x v="63"/>
    <x v="254"/>
    <x v="76"/>
    <x v="61"/>
    <x v="0"/>
  </r>
  <r>
    <x v="0"/>
    <x v="17"/>
    <x v="17"/>
    <x v="17"/>
    <x v="17"/>
    <x v="17"/>
    <x v="18"/>
    <x v="51"/>
    <x v="15"/>
    <x v="96"/>
    <x v="156"/>
    <x v="22"/>
    <x v="146"/>
    <x v="0"/>
  </r>
  <r>
    <x v="0"/>
    <x v="17"/>
    <x v="17"/>
    <x v="28"/>
    <x v="28"/>
    <x v="28"/>
    <x v="18"/>
    <x v="51"/>
    <x v="15"/>
    <x v="128"/>
    <x v="246"/>
    <x v="57"/>
    <x v="217"/>
    <x v="0"/>
  </r>
  <r>
    <x v="0"/>
    <x v="18"/>
    <x v="18"/>
    <x v="0"/>
    <x v="0"/>
    <x v="0"/>
    <x v="0"/>
    <x v="213"/>
    <x v="193"/>
    <x v="171"/>
    <x v="257"/>
    <x v="123"/>
    <x v="224"/>
    <x v="0"/>
  </r>
  <r>
    <x v="0"/>
    <x v="18"/>
    <x v="18"/>
    <x v="1"/>
    <x v="1"/>
    <x v="1"/>
    <x v="1"/>
    <x v="161"/>
    <x v="194"/>
    <x v="164"/>
    <x v="258"/>
    <x v="162"/>
    <x v="225"/>
    <x v="0"/>
  </r>
  <r>
    <x v="0"/>
    <x v="18"/>
    <x v="18"/>
    <x v="2"/>
    <x v="2"/>
    <x v="2"/>
    <x v="2"/>
    <x v="83"/>
    <x v="105"/>
    <x v="172"/>
    <x v="259"/>
    <x v="40"/>
    <x v="226"/>
    <x v="0"/>
  </r>
  <r>
    <x v="0"/>
    <x v="18"/>
    <x v="18"/>
    <x v="4"/>
    <x v="4"/>
    <x v="4"/>
    <x v="3"/>
    <x v="214"/>
    <x v="195"/>
    <x v="173"/>
    <x v="2"/>
    <x v="55"/>
    <x v="44"/>
    <x v="1"/>
  </r>
  <r>
    <x v="0"/>
    <x v="18"/>
    <x v="18"/>
    <x v="6"/>
    <x v="6"/>
    <x v="6"/>
    <x v="4"/>
    <x v="215"/>
    <x v="152"/>
    <x v="174"/>
    <x v="260"/>
    <x v="99"/>
    <x v="227"/>
    <x v="0"/>
  </r>
  <r>
    <x v="0"/>
    <x v="18"/>
    <x v="18"/>
    <x v="5"/>
    <x v="5"/>
    <x v="5"/>
    <x v="5"/>
    <x v="216"/>
    <x v="40"/>
    <x v="81"/>
    <x v="261"/>
    <x v="62"/>
    <x v="145"/>
    <x v="0"/>
  </r>
  <r>
    <x v="0"/>
    <x v="18"/>
    <x v="18"/>
    <x v="3"/>
    <x v="3"/>
    <x v="3"/>
    <x v="6"/>
    <x v="116"/>
    <x v="41"/>
    <x v="175"/>
    <x v="262"/>
    <x v="52"/>
    <x v="228"/>
    <x v="0"/>
  </r>
  <r>
    <x v="0"/>
    <x v="18"/>
    <x v="18"/>
    <x v="8"/>
    <x v="8"/>
    <x v="8"/>
    <x v="7"/>
    <x v="217"/>
    <x v="122"/>
    <x v="89"/>
    <x v="263"/>
    <x v="163"/>
    <x v="49"/>
    <x v="0"/>
  </r>
  <r>
    <x v="0"/>
    <x v="18"/>
    <x v="18"/>
    <x v="18"/>
    <x v="18"/>
    <x v="18"/>
    <x v="8"/>
    <x v="169"/>
    <x v="86"/>
    <x v="176"/>
    <x v="264"/>
    <x v="78"/>
    <x v="71"/>
    <x v="0"/>
  </r>
  <r>
    <x v="0"/>
    <x v="18"/>
    <x v="18"/>
    <x v="7"/>
    <x v="7"/>
    <x v="7"/>
    <x v="9"/>
    <x v="218"/>
    <x v="56"/>
    <x v="74"/>
    <x v="238"/>
    <x v="164"/>
    <x v="229"/>
    <x v="0"/>
  </r>
  <r>
    <x v="0"/>
    <x v="18"/>
    <x v="18"/>
    <x v="9"/>
    <x v="9"/>
    <x v="9"/>
    <x v="10"/>
    <x v="219"/>
    <x v="111"/>
    <x v="177"/>
    <x v="265"/>
    <x v="83"/>
    <x v="166"/>
    <x v="0"/>
  </r>
  <r>
    <x v="0"/>
    <x v="18"/>
    <x v="18"/>
    <x v="12"/>
    <x v="12"/>
    <x v="12"/>
    <x v="11"/>
    <x v="119"/>
    <x v="196"/>
    <x v="130"/>
    <x v="143"/>
    <x v="91"/>
    <x v="180"/>
    <x v="0"/>
  </r>
  <r>
    <x v="0"/>
    <x v="18"/>
    <x v="18"/>
    <x v="10"/>
    <x v="10"/>
    <x v="10"/>
    <x v="12"/>
    <x v="151"/>
    <x v="10"/>
    <x v="178"/>
    <x v="266"/>
    <x v="92"/>
    <x v="230"/>
    <x v="0"/>
  </r>
  <r>
    <x v="0"/>
    <x v="18"/>
    <x v="18"/>
    <x v="11"/>
    <x v="11"/>
    <x v="11"/>
    <x v="13"/>
    <x v="56"/>
    <x v="131"/>
    <x v="179"/>
    <x v="233"/>
    <x v="91"/>
    <x v="180"/>
    <x v="0"/>
  </r>
  <r>
    <x v="0"/>
    <x v="18"/>
    <x v="18"/>
    <x v="19"/>
    <x v="19"/>
    <x v="19"/>
    <x v="14"/>
    <x v="122"/>
    <x v="12"/>
    <x v="71"/>
    <x v="267"/>
    <x v="70"/>
    <x v="152"/>
    <x v="0"/>
  </r>
  <r>
    <x v="0"/>
    <x v="18"/>
    <x v="18"/>
    <x v="13"/>
    <x v="13"/>
    <x v="13"/>
    <x v="15"/>
    <x v="41"/>
    <x v="31"/>
    <x v="56"/>
    <x v="130"/>
    <x v="165"/>
    <x v="231"/>
    <x v="1"/>
  </r>
  <r>
    <x v="0"/>
    <x v="18"/>
    <x v="18"/>
    <x v="14"/>
    <x v="14"/>
    <x v="14"/>
    <x v="16"/>
    <x v="220"/>
    <x v="45"/>
    <x v="78"/>
    <x v="46"/>
    <x v="160"/>
    <x v="116"/>
    <x v="0"/>
  </r>
  <r>
    <x v="0"/>
    <x v="18"/>
    <x v="18"/>
    <x v="16"/>
    <x v="16"/>
    <x v="16"/>
    <x v="17"/>
    <x v="195"/>
    <x v="75"/>
    <x v="51"/>
    <x v="190"/>
    <x v="71"/>
    <x v="232"/>
    <x v="0"/>
  </r>
  <r>
    <x v="0"/>
    <x v="18"/>
    <x v="18"/>
    <x v="33"/>
    <x v="33"/>
    <x v="33"/>
    <x v="18"/>
    <x v="102"/>
    <x v="15"/>
    <x v="48"/>
    <x v="268"/>
    <x v="72"/>
    <x v="233"/>
    <x v="0"/>
  </r>
  <r>
    <x v="0"/>
    <x v="18"/>
    <x v="18"/>
    <x v="17"/>
    <x v="17"/>
    <x v="17"/>
    <x v="19"/>
    <x v="221"/>
    <x v="88"/>
    <x v="101"/>
    <x v="269"/>
    <x v="125"/>
    <x v="139"/>
    <x v="0"/>
  </r>
  <r>
    <x v="0"/>
    <x v="19"/>
    <x v="19"/>
    <x v="0"/>
    <x v="0"/>
    <x v="0"/>
    <x v="0"/>
    <x v="104"/>
    <x v="197"/>
    <x v="179"/>
    <x v="270"/>
    <x v="52"/>
    <x v="133"/>
    <x v="0"/>
  </r>
  <r>
    <x v="0"/>
    <x v="19"/>
    <x v="19"/>
    <x v="7"/>
    <x v="7"/>
    <x v="7"/>
    <x v="1"/>
    <x v="199"/>
    <x v="198"/>
    <x v="80"/>
    <x v="271"/>
    <x v="166"/>
    <x v="234"/>
    <x v="0"/>
  </r>
  <r>
    <x v="0"/>
    <x v="19"/>
    <x v="19"/>
    <x v="4"/>
    <x v="4"/>
    <x v="4"/>
    <x v="2"/>
    <x v="49"/>
    <x v="127"/>
    <x v="60"/>
    <x v="272"/>
    <x v="42"/>
    <x v="42"/>
    <x v="0"/>
  </r>
  <r>
    <x v="0"/>
    <x v="19"/>
    <x v="19"/>
    <x v="3"/>
    <x v="3"/>
    <x v="3"/>
    <x v="3"/>
    <x v="222"/>
    <x v="199"/>
    <x v="61"/>
    <x v="273"/>
    <x v="60"/>
    <x v="82"/>
    <x v="0"/>
  </r>
  <r>
    <x v="0"/>
    <x v="19"/>
    <x v="19"/>
    <x v="6"/>
    <x v="6"/>
    <x v="6"/>
    <x v="4"/>
    <x v="52"/>
    <x v="39"/>
    <x v="180"/>
    <x v="274"/>
    <x v="46"/>
    <x v="181"/>
    <x v="1"/>
  </r>
  <r>
    <x v="0"/>
    <x v="19"/>
    <x v="19"/>
    <x v="12"/>
    <x v="12"/>
    <x v="12"/>
    <x v="5"/>
    <x v="62"/>
    <x v="200"/>
    <x v="74"/>
    <x v="275"/>
    <x v="64"/>
    <x v="235"/>
    <x v="0"/>
  </r>
  <r>
    <x v="0"/>
    <x v="19"/>
    <x v="19"/>
    <x v="1"/>
    <x v="1"/>
    <x v="1"/>
    <x v="5"/>
    <x v="62"/>
    <x v="200"/>
    <x v="47"/>
    <x v="158"/>
    <x v="99"/>
    <x v="236"/>
    <x v="0"/>
  </r>
  <r>
    <x v="0"/>
    <x v="19"/>
    <x v="19"/>
    <x v="19"/>
    <x v="19"/>
    <x v="19"/>
    <x v="7"/>
    <x v="201"/>
    <x v="107"/>
    <x v="96"/>
    <x v="91"/>
    <x v="90"/>
    <x v="237"/>
    <x v="0"/>
  </r>
  <r>
    <x v="0"/>
    <x v="19"/>
    <x v="19"/>
    <x v="11"/>
    <x v="11"/>
    <x v="11"/>
    <x v="8"/>
    <x v="202"/>
    <x v="153"/>
    <x v="73"/>
    <x v="276"/>
    <x v="76"/>
    <x v="15"/>
    <x v="0"/>
  </r>
  <r>
    <x v="0"/>
    <x v="19"/>
    <x v="19"/>
    <x v="10"/>
    <x v="10"/>
    <x v="10"/>
    <x v="8"/>
    <x v="202"/>
    <x v="153"/>
    <x v="69"/>
    <x v="63"/>
    <x v="64"/>
    <x v="235"/>
    <x v="0"/>
  </r>
  <r>
    <x v="0"/>
    <x v="19"/>
    <x v="19"/>
    <x v="23"/>
    <x v="23"/>
    <x v="23"/>
    <x v="10"/>
    <x v="54"/>
    <x v="201"/>
    <x v="74"/>
    <x v="275"/>
    <x v="55"/>
    <x v="143"/>
    <x v="0"/>
  </r>
  <r>
    <x v="0"/>
    <x v="19"/>
    <x v="19"/>
    <x v="8"/>
    <x v="8"/>
    <x v="8"/>
    <x v="10"/>
    <x v="54"/>
    <x v="201"/>
    <x v="76"/>
    <x v="277"/>
    <x v="43"/>
    <x v="238"/>
    <x v="0"/>
  </r>
  <r>
    <x v="0"/>
    <x v="19"/>
    <x v="19"/>
    <x v="2"/>
    <x v="2"/>
    <x v="2"/>
    <x v="12"/>
    <x v="63"/>
    <x v="86"/>
    <x v="74"/>
    <x v="275"/>
    <x v="58"/>
    <x v="27"/>
    <x v="0"/>
  </r>
  <r>
    <x v="0"/>
    <x v="19"/>
    <x v="19"/>
    <x v="25"/>
    <x v="25"/>
    <x v="25"/>
    <x v="13"/>
    <x v="75"/>
    <x v="132"/>
    <x v="53"/>
    <x v="128"/>
    <x v="44"/>
    <x v="72"/>
    <x v="0"/>
  </r>
  <r>
    <x v="0"/>
    <x v="19"/>
    <x v="19"/>
    <x v="14"/>
    <x v="14"/>
    <x v="14"/>
    <x v="14"/>
    <x v="223"/>
    <x v="88"/>
    <x v="67"/>
    <x v="278"/>
    <x v="40"/>
    <x v="189"/>
    <x v="0"/>
  </r>
  <r>
    <x v="0"/>
    <x v="19"/>
    <x v="19"/>
    <x v="17"/>
    <x v="17"/>
    <x v="17"/>
    <x v="14"/>
    <x v="223"/>
    <x v="88"/>
    <x v="47"/>
    <x v="158"/>
    <x v="48"/>
    <x v="239"/>
    <x v="0"/>
  </r>
  <r>
    <x v="0"/>
    <x v="19"/>
    <x v="19"/>
    <x v="52"/>
    <x v="52"/>
    <x v="52"/>
    <x v="14"/>
    <x v="223"/>
    <x v="88"/>
    <x v="49"/>
    <x v="114"/>
    <x v="53"/>
    <x v="240"/>
    <x v="0"/>
  </r>
  <r>
    <x v="0"/>
    <x v="19"/>
    <x v="19"/>
    <x v="18"/>
    <x v="18"/>
    <x v="18"/>
    <x v="14"/>
    <x v="223"/>
    <x v="88"/>
    <x v="78"/>
    <x v="51"/>
    <x v="51"/>
    <x v="74"/>
    <x v="0"/>
  </r>
  <r>
    <x v="0"/>
    <x v="19"/>
    <x v="19"/>
    <x v="9"/>
    <x v="9"/>
    <x v="9"/>
    <x v="18"/>
    <x v="78"/>
    <x v="202"/>
    <x v="80"/>
    <x v="271"/>
    <x v="45"/>
    <x v="241"/>
    <x v="0"/>
  </r>
  <r>
    <x v="0"/>
    <x v="19"/>
    <x v="19"/>
    <x v="26"/>
    <x v="26"/>
    <x v="26"/>
    <x v="19"/>
    <x v="224"/>
    <x v="203"/>
    <x v="77"/>
    <x v="279"/>
    <x v="53"/>
    <x v="240"/>
    <x v="0"/>
  </r>
  <r>
    <x v="0"/>
    <x v="19"/>
    <x v="19"/>
    <x v="53"/>
    <x v="53"/>
    <x v="53"/>
    <x v="19"/>
    <x v="224"/>
    <x v="203"/>
    <x v="67"/>
    <x v="278"/>
    <x v="48"/>
    <x v="239"/>
    <x v="0"/>
  </r>
  <r>
    <x v="0"/>
    <x v="19"/>
    <x v="19"/>
    <x v="47"/>
    <x v="47"/>
    <x v="47"/>
    <x v="19"/>
    <x v="224"/>
    <x v="203"/>
    <x v="62"/>
    <x v="280"/>
    <x v="60"/>
    <x v="82"/>
    <x v="0"/>
  </r>
  <r>
    <x v="0"/>
    <x v="20"/>
    <x v="20"/>
    <x v="0"/>
    <x v="0"/>
    <x v="0"/>
    <x v="0"/>
    <x v="183"/>
    <x v="204"/>
    <x v="106"/>
    <x v="281"/>
    <x v="67"/>
    <x v="242"/>
    <x v="0"/>
  </r>
  <r>
    <x v="0"/>
    <x v="20"/>
    <x v="20"/>
    <x v="4"/>
    <x v="4"/>
    <x v="4"/>
    <x v="1"/>
    <x v="90"/>
    <x v="65"/>
    <x v="181"/>
    <x v="282"/>
    <x v="46"/>
    <x v="197"/>
    <x v="0"/>
  </r>
  <r>
    <x v="0"/>
    <x v="20"/>
    <x v="20"/>
    <x v="7"/>
    <x v="7"/>
    <x v="7"/>
    <x v="2"/>
    <x v="102"/>
    <x v="205"/>
    <x v="96"/>
    <x v="283"/>
    <x v="165"/>
    <x v="243"/>
    <x v="0"/>
  </r>
  <r>
    <x v="0"/>
    <x v="20"/>
    <x v="20"/>
    <x v="2"/>
    <x v="2"/>
    <x v="2"/>
    <x v="3"/>
    <x v="225"/>
    <x v="206"/>
    <x v="32"/>
    <x v="284"/>
    <x v="44"/>
    <x v="137"/>
    <x v="0"/>
  </r>
  <r>
    <x v="0"/>
    <x v="20"/>
    <x v="20"/>
    <x v="10"/>
    <x v="10"/>
    <x v="10"/>
    <x v="4"/>
    <x v="96"/>
    <x v="3"/>
    <x v="44"/>
    <x v="275"/>
    <x v="63"/>
    <x v="139"/>
    <x v="0"/>
  </r>
  <r>
    <x v="0"/>
    <x v="20"/>
    <x v="20"/>
    <x v="6"/>
    <x v="6"/>
    <x v="6"/>
    <x v="4"/>
    <x v="96"/>
    <x v="3"/>
    <x v="111"/>
    <x v="285"/>
    <x v="59"/>
    <x v="132"/>
    <x v="0"/>
  </r>
  <r>
    <x v="0"/>
    <x v="20"/>
    <x v="20"/>
    <x v="5"/>
    <x v="5"/>
    <x v="5"/>
    <x v="6"/>
    <x v="97"/>
    <x v="207"/>
    <x v="100"/>
    <x v="286"/>
    <x v="59"/>
    <x v="132"/>
    <x v="0"/>
  </r>
  <r>
    <x v="0"/>
    <x v="20"/>
    <x v="20"/>
    <x v="11"/>
    <x v="11"/>
    <x v="11"/>
    <x v="7"/>
    <x v="128"/>
    <x v="208"/>
    <x v="134"/>
    <x v="287"/>
    <x v="54"/>
    <x v="244"/>
    <x v="0"/>
  </r>
  <r>
    <x v="0"/>
    <x v="20"/>
    <x v="20"/>
    <x v="1"/>
    <x v="1"/>
    <x v="1"/>
    <x v="8"/>
    <x v="155"/>
    <x v="22"/>
    <x v="53"/>
    <x v="82"/>
    <x v="92"/>
    <x v="101"/>
    <x v="0"/>
  </r>
  <r>
    <x v="0"/>
    <x v="20"/>
    <x v="20"/>
    <x v="8"/>
    <x v="8"/>
    <x v="8"/>
    <x v="9"/>
    <x v="69"/>
    <x v="209"/>
    <x v="73"/>
    <x v="288"/>
    <x v="167"/>
    <x v="245"/>
    <x v="0"/>
  </r>
  <r>
    <x v="0"/>
    <x v="20"/>
    <x v="20"/>
    <x v="12"/>
    <x v="12"/>
    <x v="12"/>
    <x v="9"/>
    <x v="69"/>
    <x v="209"/>
    <x v="134"/>
    <x v="287"/>
    <x v="40"/>
    <x v="61"/>
    <x v="0"/>
  </r>
  <r>
    <x v="0"/>
    <x v="20"/>
    <x v="20"/>
    <x v="3"/>
    <x v="3"/>
    <x v="3"/>
    <x v="11"/>
    <x v="156"/>
    <x v="70"/>
    <x v="35"/>
    <x v="209"/>
    <x v="44"/>
    <x v="137"/>
    <x v="0"/>
  </r>
  <r>
    <x v="0"/>
    <x v="20"/>
    <x v="20"/>
    <x v="18"/>
    <x v="18"/>
    <x v="18"/>
    <x v="12"/>
    <x v="70"/>
    <x v="160"/>
    <x v="133"/>
    <x v="289"/>
    <x v="64"/>
    <x v="190"/>
    <x v="0"/>
  </r>
  <r>
    <x v="0"/>
    <x v="20"/>
    <x v="20"/>
    <x v="19"/>
    <x v="19"/>
    <x v="19"/>
    <x v="13"/>
    <x v="46"/>
    <x v="85"/>
    <x v="87"/>
    <x v="290"/>
    <x v="63"/>
    <x v="139"/>
    <x v="0"/>
  </r>
  <r>
    <x v="0"/>
    <x v="20"/>
    <x v="20"/>
    <x v="14"/>
    <x v="14"/>
    <x v="14"/>
    <x v="14"/>
    <x v="71"/>
    <x v="72"/>
    <x v="80"/>
    <x v="130"/>
    <x v="41"/>
    <x v="105"/>
    <x v="0"/>
  </r>
  <r>
    <x v="0"/>
    <x v="20"/>
    <x v="20"/>
    <x v="54"/>
    <x v="54"/>
    <x v="54"/>
    <x v="15"/>
    <x v="113"/>
    <x v="15"/>
    <x v="63"/>
    <x v="173"/>
    <x v="64"/>
    <x v="190"/>
    <x v="0"/>
  </r>
  <r>
    <x v="0"/>
    <x v="20"/>
    <x v="20"/>
    <x v="13"/>
    <x v="13"/>
    <x v="13"/>
    <x v="15"/>
    <x v="113"/>
    <x v="15"/>
    <x v="77"/>
    <x v="291"/>
    <x v="66"/>
    <x v="237"/>
    <x v="0"/>
  </r>
  <r>
    <x v="0"/>
    <x v="20"/>
    <x v="20"/>
    <x v="17"/>
    <x v="17"/>
    <x v="17"/>
    <x v="17"/>
    <x v="52"/>
    <x v="210"/>
    <x v="97"/>
    <x v="114"/>
    <x v="22"/>
    <x v="162"/>
    <x v="0"/>
  </r>
  <r>
    <x v="0"/>
    <x v="20"/>
    <x v="20"/>
    <x v="9"/>
    <x v="9"/>
    <x v="9"/>
    <x v="18"/>
    <x v="201"/>
    <x v="76"/>
    <x v="56"/>
    <x v="50"/>
    <x v="59"/>
    <x v="132"/>
    <x v="0"/>
  </r>
  <r>
    <x v="0"/>
    <x v="20"/>
    <x v="20"/>
    <x v="23"/>
    <x v="23"/>
    <x v="23"/>
    <x v="19"/>
    <x v="53"/>
    <x v="211"/>
    <x v="147"/>
    <x v="292"/>
    <x v="57"/>
    <x v="246"/>
    <x v="0"/>
  </r>
  <r>
    <x v="0"/>
    <x v="21"/>
    <x v="21"/>
    <x v="0"/>
    <x v="0"/>
    <x v="0"/>
    <x v="0"/>
    <x v="195"/>
    <x v="212"/>
    <x v="165"/>
    <x v="293"/>
    <x v="46"/>
    <x v="122"/>
    <x v="0"/>
  </r>
  <r>
    <x v="0"/>
    <x v="21"/>
    <x v="21"/>
    <x v="3"/>
    <x v="3"/>
    <x v="3"/>
    <x v="1"/>
    <x v="47"/>
    <x v="213"/>
    <x v="71"/>
    <x v="294"/>
    <x v="42"/>
    <x v="42"/>
    <x v="0"/>
  </r>
  <r>
    <x v="0"/>
    <x v="21"/>
    <x v="21"/>
    <x v="4"/>
    <x v="4"/>
    <x v="4"/>
    <x v="2"/>
    <x v="58"/>
    <x v="214"/>
    <x v="98"/>
    <x v="295"/>
    <x v="44"/>
    <x v="74"/>
    <x v="0"/>
  </r>
  <r>
    <x v="0"/>
    <x v="21"/>
    <x v="21"/>
    <x v="2"/>
    <x v="2"/>
    <x v="2"/>
    <x v="3"/>
    <x v="113"/>
    <x v="215"/>
    <x v="34"/>
    <x v="296"/>
    <x v="42"/>
    <x v="42"/>
    <x v="0"/>
  </r>
  <r>
    <x v="0"/>
    <x v="21"/>
    <x v="21"/>
    <x v="12"/>
    <x v="12"/>
    <x v="12"/>
    <x v="4"/>
    <x v="60"/>
    <x v="216"/>
    <x v="128"/>
    <x v="209"/>
    <x v="52"/>
    <x v="247"/>
    <x v="0"/>
  </r>
  <r>
    <x v="0"/>
    <x v="21"/>
    <x v="21"/>
    <x v="7"/>
    <x v="7"/>
    <x v="7"/>
    <x v="5"/>
    <x v="61"/>
    <x v="217"/>
    <x v="50"/>
    <x v="288"/>
    <x v="99"/>
    <x v="248"/>
    <x v="0"/>
  </r>
  <r>
    <x v="0"/>
    <x v="21"/>
    <x v="21"/>
    <x v="11"/>
    <x v="11"/>
    <x v="11"/>
    <x v="6"/>
    <x v="201"/>
    <x v="159"/>
    <x v="74"/>
    <x v="264"/>
    <x v="57"/>
    <x v="249"/>
    <x v="0"/>
  </r>
  <r>
    <x v="0"/>
    <x v="21"/>
    <x v="21"/>
    <x v="6"/>
    <x v="6"/>
    <x v="6"/>
    <x v="7"/>
    <x v="72"/>
    <x v="218"/>
    <x v="52"/>
    <x v="297"/>
    <x v="55"/>
    <x v="205"/>
    <x v="0"/>
  </r>
  <r>
    <x v="0"/>
    <x v="21"/>
    <x v="21"/>
    <x v="18"/>
    <x v="18"/>
    <x v="18"/>
    <x v="8"/>
    <x v="202"/>
    <x v="191"/>
    <x v="56"/>
    <x v="289"/>
    <x v="55"/>
    <x v="205"/>
    <x v="0"/>
  </r>
  <r>
    <x v="0"/>
    <x v="21"/>
    <x v="21"/>
    <x v="8"/>
    <x v="8"/>
    <x v="8"/>
    <x v="9"/>
    <x v="54"/>
    <x v="174"/>
    <x v="96"/>
    <x v="173"/>
    <x v="67"/>
    <x v="250"/>
    <x v="0"/>
  </r>
  <r>
    <x v="0"/>
    <x v="21"/>
    <x v="21"/>
    <x v="10"/>
    <x v="10"/>
    <x v="10"/>
    <x v="10"/>
    <x v="73"/>
    <x v="138"/>
    <x v="73"/>
    <x v="298"/>
    <x v="59"/>
    <x v="97"/>
    <x v="0"/>
  </r>
  <r>
    <x v="0"/>
    <x v="21"/>
    <x v="21"/>
    <x v="9"/>
    <x v="9"/>
    <x v="9"/>
    <x v="11"/>
    <x v="65"/>
    <x v="168"/>
    <x v="69"/>
    <x v="12"/>
    <x v="58"/>
    <x v="76"/>
    <x v="0"/>
  </r>
  <r>
    <x v="0"/>
    <x v="21"/>
    <x v="21"/>
    <x v="5"/>
    <x v="5"/>
    <x v="5"/>
    <x v="12"/>
    <x v="66"/>
    <x v="71"/>
    <x v="69"/>
    <x v="12"/>
    <x v="51"/>
    <x v="45"/>
    <x v="0"/>
  </r>
  <r>
    <x v="0"/>
    <x v="21"/>
    <x v="21"/>
    <x v="1"/>
    <x v="1"/>
    <x v="1"/>
    <x v="13"/>
    <x v="67"/>
    <x v="44"/>
    <x v="80"/>
    <x v="299"/>
    <x v="48"/>
    <x v="251"/>
    <x v="0"/>
  </r>
  <r>
    <x v="0"/>
    <x v="21"/>
    <x v="21"/>
    <x v="15"/>
    <x v="15"/>
    <x v="15"/>
    <x v="14"/>
    <x v="76"/>
    <x v="11"/>
    <x v="76"/>
    <x v="300"/>
    <x v="64"/>
    <x v="109"/>
    <x v="0"/>
  </r>
  <r>
    <x v="0"/>
    <x v="21"/>
    <x v="21"/>
    <x v="22"/>
    <x v="22"/>
    <x v="22"/>
    <x v="14"/>
    <x v="76"/>
    <x v="11"/>
    <x v="53"/>
    <x v="255"/>
    <x v="60"/>
    <x v="22"/>
    <x v="0"/>
  </r>
  <r>
    <x v="0"/>
    <x v="21"/>
    <x v="21"/>
    <x v="19"/>
    <x v="19"/>
    <x v="19"/>
    <x v="16"/>
    <x v="223"/>
    <x v="59"/>
    <x v="96"/>
    <x v="173"/>
    <x v="46"/>
    <x v="122"/>
    <x v="0"/>
  </r>
  <r>
    <x v="0"/>
    <x v="21"/>
    <x v="21"/>
    <x v="28"/>
    <x v="28"/>
    <x v="28"/>
    <x v="16"/>
    <x v="223"/>
    <x v="59"/>
    <x v="96"/>
    <x v="173"/>
    <x v="46"/>
    <x v="122"/>
    <x v="0"/>
  </r>
  <r>
    <x v="0"/>
    <x v="21"/>
    <x v="21"/>
    <x v="14"/>
    <x v="14"/>
    <x v="14"/>
    <x v="18"/>
    <x v="77"/>
    <x v="102"/>
    <x v="77"/>
    <x v="219"/>
    <x v="67"/>
    <x v="250"/>
    <x v="0"/>
  </r>
  <r>
    <x v="0"/>
    <x v="21"/>
    <x v="21"/>
    <x v="25"/>
    <x v="25"/>
    <x v="25"/>
    <x v="18"/>
    <x v="77"/>
    <x v="102"/>
    <x v="79"/>
    <x v="49"/>
    <x v="60"/>
    <x v="22"/>
    <x v="0"/>
  </r>
  <r>
    <x v="0"/>
    <x v="22"/>
    <x v="22"/>
    <x v="0"/>
    <x v="0"/>
    <x v="0"/>
    <x v="0"/>
    <x v="225"/>
    <x v="219"/>
    <x v="182"/>
    <x v="301"/>
    <x v="51"/>
    <x v="252"/>
    <x v="0"/>
  </r>
  <r>
    <x v="0"/>
    <x v="22"/>
    <x v="22"/>
    <x v="1"/>
    <x v="1"/>
    <x v="1"/>
    <x v="1"/>
    <x v="226"/>
    <x v="220"/>
    <x v="34"/>
    <x v="302"/>
    <x v="54"/>
    <x v="253"/>
    <x v="0"/>
  </r>
  <r>
    <x v="0"/>
    <x v="22"/>
    <x v="22"/>
    <x v="7"/>
    <x v="7"/>
    <x v="7"/>
    <x v="2"/>
    <x v="107"/>
    <x v="221"/>
    <x v="55"/>
    <x v="303"/>
    <x v="85"/>
    <x v="254"/>
    <x v="0"/>
  </r>
  <r>
    <x v="0"/>
    <x v="22"/>
    <x v="22"/>
    <x v="4"/>
    <x v="4"/>
    <x v="4"/>
    <x v="3"/>
    <x v="108"/>
    <x v="222"/>
    <x v="112"/>
    <x v="304"/>
    <x v="42"/>
    <x v="42"/>
    <x v="0"/>
  </r>
  <r>
    <x v="0"/>
    <x v="22"/>
    <x v="22"/>
    <x v="6"/>
    <x v="6"/>
    <x v="6"/>
    <x v="4"/>
    <x v="112"/>
    <x v="223"/>
    <x v="61"/>
    <x v="244"/>
    <x v="46"/>
    <x v="190"/>
    <x v="0"/>
  </r>
  <r>
    <x v="0"/>
    <x v="22"/>
    <x v="22"/>
    <x v="11"/>
    <x v="11"/>
    <x v="11"/>
    <x v="5"/>
    <x v="227"/>
    <x v="41"/>
    <x v="103"/>
    <x v="264"/>
    <x v="57"/>
    <x v="255"/>
    <x v="0"/>
  </r>
  <r>
    <x v="0"/>
    <x v="22"/>
    <x v="22"/>
    <x v="10"/>
    <x v="10"/>
    <x v="10"/>
    <x v="6"/>
    <x v="51"/>
    <x v="107"/>
    <x v="63"/>
    <x v="305"/>
    <x v="48"/>
    <x v="94"/>
    <x v="0"/>
  </r>
  <r>
    <x v="0"/>
    <x v="22"/>
    <x v="22"/>
    <x v="8"/>
    <x v="8"/>
    <x v="8"/>
    <x v="7"/>
    <x v="60"/>
    <x v="108"/>
    <x v="73"/>
    <x v="306"/>
    <x v="90"/>
    <x v="256"/>
    <x v="0"/>
  </r>
  <r>
    <x v="0"/>
    <x v="22"/>
    <x v="22"/>
    <x v="55"/>
    <x v="55"/>
    <x v="55"/>
    <x v="8"/>
    <x v="201"/>
    <x v="110"/>
    <x v="65"/>
    <x v="32"/>
    <x v="46"/>
    <x v="190"/>
    <x v="0"/>
  </r>
  <r>
    <x v="0"/>
    <x v="22"/>
    <x v="22"/>
    <x v="5"/>
    <x v="5"/>
    <x v="5"/>
    <x v="8"/>
    <x v="201"/>
    <x v="110"/>
    <x v="54"/>
    <x v="252"/>
    <x v="45"/>
    <x v="148"/>
    <x v="0"/>
  </r>
  <r>
    <x v="0"/>
    <x v="22"/>
    <x v="22"/>
    <x v="15"/>
    <x v="15"/>
    <x v="15"/>
    <x v="10"/>
    <x v="202"/>
    <x v="8"/>
    <x v="97"/>
    <x v="268"/>
    <x v="90"/>
    <x v="256"/>
    <x v="0"/>
  </r>
  <r>
    <x v="0"/>
    <x v="22"/>
    <x v="22"/>
    <x v="18"/>
    <x v="18"/>
    <x v="18"/>
    <x v="10"/>
    <x v="202"/>
    <x v="8"/>
    <x v="65"/>
    <x v="32"/>
    <x v="44"/>
    <x v="174"/>
    <x v="0"/>
  </r>
  <r>
    <x v="0"/>
    <x v="22"/>
    <x v="22"/>
    <x v="23"/>
    <x v="23"/>
    <x v="23"/>
    <x v="12"/>
    <x v="54"/>
    <x v="176"/>
    <x v="54"/>
    <x v="252"/>
    <x v="51"/>
    <x v="252"/>
    <x v="0"/>
  </r>
  <r>
    <x v="0"/>
    <x v="22"/>
    <x v="22"/>
    <x v="56"/>
    <x v="56"/>
    <x v="56"/>
    <x v="13"/>
    <x v="55"/>
    <x v="27"/>
    <x v="69"/>
    <x v="307"/>
    <x v="59"/>
    <x v="191"/>
    <x v="0"/>
  </r>
  <r>
    <x v="0"/>
    <x v="22"/>
    <x v="22"/>
    <x v="12"/>
    <x v="12"/>
    <x v="12"/>
    <x v="14"/>
    <x v="63"/>
    <x v="123"/>
    <x v="52"/>
    <x v="143"/>
    <x v="44"/>
    <x v="174"/>
    <x v="0"/>
  </r>
  <r>
    <x v="0"/>
    <x v="22"/>
    <x v="22"/>
    <x v="33"/>
    <x v="33"/>
    <x v="33"/>
    <x v="15"/>
    <x v="73"/>
    <x v="101"/>
    <x v="75"/>
    <x v="280"/>
    <x v="46"/>
    <x v="190"/>
    <x v="0"/>
  </r>
  <r>
    <x v="0"/>
    <x v="22"/>
    <x v="22"/>
    <x v="2"/>
    <x v="2"/>
    <x v="2"/>
    <x v="15"/>
    <x v="73"/>
    <x v="101"/>
    <x v="52"/>
    <x v="143"/>
    <x v="60"/>
    <x v="96"/>
    <x v="0"/>
  </r>
  <r>
    <x v="0"/>
    <x v="22"/>
    <x v="22"/>
    <x v="3"/>
    <x v="3"/>
    <x v="3"/>
    <x v="15"/>
    <x v="73"/>
    <x v="101"/>
    <x v="54"/>
    <x v="252"/>
    <x v="42"/>
    <x v="42"/>
    <x v="0"/>
  </r>
  <r>
    <x v="0"/>
    <x v="22"/>
    <x v="22"/>
    <x v="17"/>
    <x v="17"/>
    <x v="17"/>
    <x v="18"/>
    <x v="64"/>
    <x v="224"/>
    <x v="97"/>
    <x v="268"/>
    <x v="53"/>
    <x v="186"/>
    <x v="0"/>
  </r>
  <r>
    <x v="0"/>
    <x v="22"/>
    <x v="22"/>
    <x v="54"/>
    <x v="54"/>
    <x v="54"/>
    <x v="18"/>
    <x v="64"/>
    <x v="224"/>
    <x v="69"/>
    <x v="307"/>
    <x v="46"/>
    <x v="190"/>
    <x v="0"/>
  </r>
  <r>
    <x v="0"/>
    <x v="23"/>
    <x v="23"/>
    <x v="0"/>
    <x v="0"/>
    <x v="0"/>
    <x v="0"/>
    <x v="124"/>
    <x v="225"/>
    <x v="182"/>
    <x v="308"/>
    <x v="55"/>
    <x v="68"/>
    <x v="0"/>
  </r>
  <r>
    <x v="0"/>
    <x v="23"/>
    <x v="23"/>
    <x v="18"/>
    <x v="18"/>
    <x v="18"/>
    <x v="1"/>
    <x v="228"/>
    <x v="226"/>
    <x v="167"/>
    <x v="309"/>
    <x v="45"/>
    <x v="257"/>
    <x v="0"/>
  </r>
  <r>
    <x v="0"/>
    <x v="23"/>
    <x v="23"/>
    <x v="33"/>
    <x v="33"/>
    <x v="33"/>
    <x v="2"/>
    <x v="44"/>
    <x v="227"/>
    <x v="72"/>
    <x v="137"/>
    <x v="64"/>
    <x v="258"/>
    <x v="0"/>
  </r>
  <r>
    <x v="0"/>
    <x v="23"/>
    <x v="23"/>
    <x v="2"/>
    <x v="2"/>
    <x v="2"/>
    <x v="3"/>
    <x v="107"/>
    <x v="199"/>
    <x v="112"/>
    <x v="310"/>
    <x v="51"/>
    <x v="62"/>
    <x v="0"/>
  </r>
  <r>
    <x v="0"/>
    <x v="23"/>
    <x v="23"/>
    <x v="57"/>
    <x v="57"/>
    <x v="57"/>
    <x v="4"/>
    <x v="48"/>
    <x v="228"/>
    <x v="103"/>
    <x v="128"/>
    <x v="57"/>
    <x v="84"/>
    <x v="8"/>
  </r>
  <r>
    <x v="0"/>
    <x v="23"/>
    <x v="23"/>
    <x v="4"/>
    <x v="4"/>
    <x v="4"/>
    <x v="5"/>
    <x v="108"/>
    <x v="19"/>
    <x v="112"/>
    <x v="310"/>
    <x v="42"/>
    <x v="42"/>
    <x v="0"/>
  </r>
  <r>
    <x v="0"/>
    <x v="23"/>
    <x v="23"/>
    <x v="11"/>
    <x v="11"/>
    <x v="11"/>
    <x v="6"/>
    <x v="71"/>
    <x v="223"/>
    <x v="34"/>
    <x v="311"/>
    <x v="48"/>
    <x v="16"/>
    <x v="0"/>
  </r>
  <r>
    <x v="0"/>
    <x v="23"/>
    <x v="23"/>
    <x v="7"/>
    <x v="7"/>
    <x v="7"/>
    <x v="7"/>
    <x v="50"/>
    <x v="51"/>
    <x v="96"/>
    <x v="312"/>
    <x v="83"/>
    <x v="130"/>
    <x v="0"/>
  </r>
  <r>
    <x v="0"/>
    <x v="23"/>
    <x v="23"/>
    <x v="10"/>
    <x v="10"/>
    <x v="10"/>
    <x v="8"/>
    <x v="52"/>
    <x v="110"/>
    <x v="52"/>
    <x v="74"/>
    <x v="64"/>
    <x v="258"/>
    <x v="0"/>
  </r>
  <r>
    <x v="0"/>
    <x v="23"/>
    <x v="23"/>
    <x v="3"/>
    <x v="3"/>
    <x v="3"/>
    <x v="8"/>
    <x v="52"/>
    <x v="110"/>
    <x v="51"/>
    <x v="48"/>
    <x v="60"/>
    <x v="96"/>
    <x v="0"/>
  </r>
  <r>
    <x v="0"/>
    <x v="23"/>
    <x v="23"/>
    <x v="14"/>
    <x v="14"/>
    <x v="14"/>
    <x v="10"/>
    <x v="62"/>
    <x v="145"/>
    <x v="53"/>
    <x v="50"/>
    <x v="67"/>
    <x v="34"/>
    <x v="0"/>
  </r>
  <r>
    <x v="0"/>
    <x v="23"/>
    <x v="23"/>
    <x v="17"/>
    <x v="17"/>
    <x v="17"/>
    <x v="10"/>
    <x v="62"/>
    <x v="145"/>
    <x v="69"/>
    <x v="313"/>
    <x v="40"/>
    <x v="161"/>
    <x v="0"/>
  </r>
  <r>
    <x v="0"/>
    <x v="23"/>
    <x v="23"/>
    <x v="6"/>
    <x v="6"/>
    <x v="6"/>
    <x v="12"/>
    <x v="201"/>
    <x v="111"/>
    <x v="126"/>
    <x v="104"/>
    <x v="42"/>
    <x v="42"/>
    <x v="0"/>
  </r>
  <r>
    <x v="0"/>
    <x v="23"/>
    <x v="23"/>
    <x v="27"/>
    <x v="27"/>
    <x v="27"/>
    <x v="13"/>
    <x v="72"/>
    <x v="72"/>
    <x v="52"/>
    <x v="74"/>
    <x v="55"/>
    <x v="68"/>
    <x v="0"/>
  </r>
  <r>
    <x v="0"/>
    <x v="23"/>
    <x v="23"/>
    <x v="5"/>
    <x v="5"/>
    <x v="5"/>
    <x v="14"/>
    <x v="202"/>
    <x v="229"/>
    <x v="128"/>
    <x v="11"/>
    <x v="60"/>
    <x v="96"/>
    <x v="0"/>
  </r>
  <r>
    <x v="0"/>
    <x v="23"/>
    <x v="23"/>
    <x v="1"/>
    <x v="1"/>
    <x v="1"/>
    <x v="15"/>
    <x v="54"/>
    <x v="29"/>
    <x v="96"/>
    <x v="312"/>
    <x v="67"/>
    <x v="34"/>
    <x v="0"/>
  </r>
  <r>
    <x v="0"/>
    <x v="23"/>
    <x v="23"/>
    <x v="8"/>
    <x v="8"/>
    <x v="8"/>
    <x v="16"/>
    <x v="63"/>
    <x v="131"/>
    <x v="97"/>
    <x v="190"/>
    <x v="56"/>
    <x v="89"/>
    <x v="0"/>
  </r>
  <r>
    <x v="0"/>
    <x v="23"/>
    <x v="23"/>
    <x v="12"/>
    <x v="12"/>
    <x v="12"/>
    <x v="16"/>
    <x v="63"/>
    <x v="131"/>
    <x v="75"/>
    <x v="314"/>
    <x v="55"/>
    <x v="68"/>
    <x v="0"/>
  </r>
  <r>
    <x v="0"/>
    <x v="23"/>
    <x v="23"/>
    <x v="23"/>
    <x v="23"/>
    <x v="23"/>
    <x v="18"/>
    <x v="67"/>
    <x v="230"/>
    <x v="55"/>
    <x v="52"/>
    <x v="59"/>
    <x v="259"/>
    <x v="0"/>
  </r>
  <r>
    <x v="0"/>
    <x v="23"/>
    <x v="23"/>
    <x v="58"/>
    <x v="58"/>
    <x v="58"/>
    <x v="18"/>
    <x v="67"/>
    <x v="230"/>
    <x v="53"/>
    <x v="50"/>
    <x v="51"/>
    <x v="62"/>
    <x v="0"/>
  </r>
  <r>
    <x v="0"/>
    <x v="23"/>
    <x v="23"/>
    <x v="15"/>
    <x v="15"/>
    <x v="15"/>
    <x v="18"/>
    <x v="67"/>
    <x v="230"/>
    <x v="76"/>
    <x v="67"/>
    <x v="53"/>
    <x v="175"/>
    <x v="0"/>
  </r>
  <r>
    <x v="0"/>
    <x v="24"/>
    <x v="24"/>
    <x v="0"/>
    <x v="0"/>
    <x v="0"/>
    <x v="0"/>
    <x v="127"/>
    <x v="231"/>
    <x v="138"/>
    <x v="315"/>
    <x v="52"/>
    <x v="260"/>
    <x v="0"/>
  </r>
  <r>
    <x v="0"/>
    <x v="24"/>
    <x v="24"/>
    <x v="4"/>
    <x v="4"/>
    <x v="4"/>
    <x v="1"/>
    <x v="60"/>
    <x v="82"/>
    <x v="51"/>
    <x v="316"/>
    <x v="44"/>
    <x v="261"/>
    <x v="0"/>
  </r>
  <r>
    <x v="0"/>
    <x v="24"/>
    <x v="24"/>
    <x v="5"/>
    <x v="5"/>
    <x v="5"/>
    <x v="2"/>
    <x v="202"/>
    <x v="142"/>
    <x v="54"/>
    <x v="285"/>
    <x v="58"/>
    <x v="54"/>
    <x v="0"/>
  </r>
  <r>
    <x v="0"/>
    <x v="24"/>
    <x v="24"/>
    <x v="6"/>
    <x v="6"/>
    <x v="6"/>
    <x v="3"/>
    <x v="54"/>
    <x v="106"/>
    <x v="54"/>
    <x v="285"/>
    <x v="51"/>
    <x v="93"/>
    <x v="0"/>
  </r>
  <r>
    <x v="0"/>
    <x v="24"/>
    <x v="24"/>
    <x v="10"/>
    <x v="10"/>
    <x v="10"/>
    <x v="4"/>
    <x v="55"/>
    <x v="232"/>
    <x v="56"/>
    <x v="317"/>
    <x v="58"/>
    <x v="54"/>
    <x v="0"/>
  </r>
  <r>
    <x v="0"/>
    <x v="24"/>
    <x v="24"/>
    <x v="11"/>
    <x v="11"/>
    <x v="11"/>
    <x v="5"/>
    <x v="74"/>
    <x v="51"/>
    <x v="79"/>
    <x v="305"/>
    <x v="59"/>
    <x v="262"/>
    <x v="0"/>
  </r>
  <r>
    <x v="0"/>
    <x v="24"/>
    <x v="24"/>
    <x v="9"/>
    <x v="9"/>
    <x v="9"/>
    <x v="5"/>
    <x v="74"/>
    <x v="51"/>
    <x v="74"/>
    <x v="198"/>
    <x v="44"/>
    <x v="261"/>
    <x v="0"/>
  </r>
  <r>
    <x v="0"/>
    <x v="24"/>
    <x v="24"/>
    <x v="8"/>
    <x v="8"/>
    <x v="8"/>
    <x v="7"/>
    <x v="66"/>
    <x v="70"/>
    <x v="97"/>
    <x v="318"/>
    <x v="48"/>
    <x v="263"/>
    <x v="0"/>
  </r>
  <r>
    <x v="0"/>
    <x v="24"/>
    <x v="24"/>
    <x v="1"/>
    <x v="1"/>
    <x v="1"/>
    <x v="7"/>
    <x v="66"/>
    <x v="70"/>
    <x v="67"/>
    <x v="319"/>
    <x v="54"/>
    <x v="264"/>
    <x v="0"/>
  </r>
  <r>
    <x v="0"/>
    <x v="24"/>
    <x v="24"/>
    <x v="15"/>
    <x v="15"/>
    <x v="15"/>
    <x v="9"/>
    <x v="67"/>
    <x v="183"/>
    <x v="76"/>
    <x v="106"/>
    <x v="53"/>
    <x v="265"/>
    <x v="0"/>
  </r>
  <r>
    <x v="0"/>
    <x v="24"/>
    <x v="24"/>
    <x v="18"/>
    <x v="18"/>
    <x v="18"/>
    <x v="9"/>
    <x v="67"/>
    <x v="183"/>
    <x v="135"/>
    <x v="320"/>
    <x v="60"/>
    <x v="182"/>
    <x v="0"/>
  </r>
  <r>
    <x v="0"/>
    <x v="24"/>
    <x v="24"/>
    <x v="2"/>
    <x v="2"/>
    <x v="2"/>
    <x v="11"/>
    <x v="75"/>
    <x v="233"/>
    <x v="69"/>
    <x v="321"/>
    <x v="60"/>
    <x v="182"/>
    <x v="0"/>
  </r>
  <r>
    <x v="0"/>
    <x v="24"/>
    <x v="24"/>
    <x v="3"/>
    <x v="3"/>
    <x v="3"/>
    <x v="12"/>
    <x v="76"/>
    <x v="111"/>
    <x v="69"/>
    <x v="321"/>
    <x v="42"/>
    <x v="42"/>
    <x v="0"/>
  </r>
  <r>
    <x v="0"/>
    <x v="24"/>
    <x v="24"/>
    <x v="7"/>
    <x v="7"/>
    <x v="7"/>
    <x v="13"/>
    <x v="78"/>
    <x v="11"/>
    <x v="140"/>
    <x v="322"/>
    <x v="67"/>
    <x v="98"/>
    <x v="0"/>
  </r>
  <r>
    <x v="0"/>
    <x v="24"/>
    <x v="24"/>
    <x v="17"/>
    <x v="17"/>
    <x v="17"/>
    <x v="14"/>
    <x v="224"/>
    <x v="224"/>
    <x v="47"/>
    <x v="323"/>
    <x v="59"/>
    <x v="262"/>
    <x v="0"/>
  </r>
  <r>
    <x v="0"/>
    <x v="24"/>
    <x v="24"/>
    <x v="23"/>
    <x v="23"/>
    <x v="23"/>
    <x v="14"/>
    <x v="224"/>
    <x v="224"/>
    <x v="97"/>
    <x v="318"/>
    <x v="46"/>
    <x v="167"/>
    <x v="0"/>
  </r>
  <r>
    <x v="0"/>
    <x v="24"/>
    <x v="24"/>
    <x v="54"/>
    <x v="54"/>
    <x v="54"/>
    <x v="14"/>
    <x v="224"/>
    <x v="224"/>
    <x v="80"/>
    <x v="324"/>
    <x v="55"/>
    <x v="140"/>
    <x v="0"/>
  </r>
  <r>
    <x v="0"/>
    <x v="24"/>
    <x v="24"/>
    <x v="16"/>
    <x v="16"/>
    <x v="16"/>
    <x v="14"/>
    <x v="224"/>
    <x v="224"/>
    <x v="68"/>
    <x v="101"/>
    <x v="57"/>
    <x v="266"/>
    <x v="0"/>
  </r>
  <r>
    <x v="0"/>
    <x v="24"/>
    <x v="24"/>
    <x v="12"/>
    <x v="12"/>
    <x v="12"/>
    <x v="18"/>
    <x v="229"/>
    <x v="113"/>
    <x v="66"/>
    <x v="325"/>
    <x v="44"/>
    <x v="261"/>
    <x v="1"/>
  </r>
  <r>
    <x v="0"/>
    <x v="24"/>
    <x v="24"/>
    <x v="19"/>
    <x v="19"/>
    <x v="19"/>
    <x v="19"/>
    <x v="230"/>
    <x v="46"/>
    <x v="50"/>
    <x v="26"/>
    <x v="46"/>
    <x v="167"/>
    <x v="0"/>
  </r>
  <r>
    <x v="0"/>
    <x v="25"/>
    <x v="25"/>
    <x v="56"/>
    <x v="56"/>
    <x v="56"/>
    <x v="0"/>
    <x v="231"/>
    <x v="234"/>
    <x v="183"/>
    <x v="326"/>
    <x v="49"/>
    <x v="267"/>
    <x v="0"/>
  </r>
  <r>
    <x v="0"/>
    <x v="25"/>
    <x v="25"/>
    <x v="59"/>
    <x v="59"/>
    <x v="59"/>
    <x v="1"/>
    <x v="207"/>
    <x v="235"/>
    <x v="157"/>
    <x v="327"/>
    <x v="52"/>
    <x v="268"/>
    <x v="0"/>
  </r>
  <r>
    <x v="0"/>
    <x v="25"/>
    <x v="25"/>
    <x v="60"/>
    <x v="60"/>
    <x v="60"/>
    <x v="2"/>
    <x v="58"/>
    <x v="236"/>
    <x v="66"/>
    <x v="328"/>
    <x v="62"/>
    <x v="269"/>
    <x v="0"/>
  </r>
  <r>
    <x v="0"/>
    <x v="25"/>
    <x v="25"/>
    <x v="1"/>
    <x v="1"/>
    <x v="1"/>
    <x v="3"/>
    <x v="50"/>
    <x v="237"/>
    <x v="147"/>
    <x v="329"/>
    <x v="65"/>
    <x v="225"/>
    <x v="0"/>
  </r>
  <r>
    <x v="0"/>
    <x v="25"/>
    <x v="25"/>
    <x v="0"/>
    <x v="0"/>
    <x v="0"/>
    <x v="4"/>
    <x v="59"/>
    <x v="20"/>
    <x v="34"/>
    <x v="330"/>
    <x v="44"/>
    <x v="197"/>
    <x v="0"/>
  </r>
  <r>
    <x v="0"/>
    <x v="25"/>
    <x v="25"/>
    <x v="61"/>
    <x v="61"/>
    <x v="61"/>
    <x v="5"/>
    <x v="61"/>
    <x v="191"/>
    <x v="135"/>
    <x v="51"/>
    <x v="40"/>
    <x v="213"/>
    <x v="0"/>
  </r>
  <r>
    <x v="0"/>
    <x v="25"/>
    <x v="25"/>
    <x v="4"/>
    <x v="4"/>
    <x v="4"/>
    <x v="6"/>
    <x v="62"/>
    <x v="97"/>
    <x v="126"/>
    <x v="87"/>
    <x v="60"/>
    <x v="4"/>
    <x v="0"/>
  </r>
  <r>
    <x v="0"/>
    <x v="25"/>
    <x v="25"/>
    <x v="3"/>
    <x v="3"/>
    <x v="3"/>
    <x v="7"/>
    <x v="53"/>
    <x v="22"/>
    <x v="64"/>
    <x v="331"/>
    <x v="42"/>
    <x v="42"/>
    <x v="0"/>
  </r>
  <r>
    <x v="0"/>
    <x v="25"/>
    <x v="25"/>
    <x v="6"/>
    <x v="6"/>
    <x v="6"/>
    <x v="8"/>
    <x v="55"/>
    <x v="238"/>
    <x v="74"/>
    <x v="332"/>
    <x v="46"/>
    <x v="270"/>
    <x v="0"/>
  </r>
  <r>
    <x v="0"/>
    <x v="25"/>
    <x v="25"/>
    <x v="58"/>
    <x v="58"/>
    <x v="58"/>
    <x v="9"/>
    <x v="74"/>
    <x v="10"/>
    <x v="55"/>
    <x v="333"/>
    <x v="76"/>
    <x v="32"/>
    <x v="0"/>
  </r>
  <r>
    <x v="0"/>
    <x v="25"/>
    <x v="25"/>
    <x v="10"/>
    <x v="10"/>
    <x v="10"/>
    <x v="10"/>
    <x v="64"/>
    <x v="229"/>
    <x v="69"/>
    <x v="334"/>
    <x v="46"/>
    <x v="270"/>
    <x v="0"/>
  </r>
  <r>
    <x v="0"/>
    <x v="25"/>
    <x v="25"/>
    <x v="13"/>
    <x v="13"/>
    <x v="13"/>
    <x v="10"/>
    <x v="64"/>
    <x v="229"/>
    <x v="59"/>
    <x v="129"/>
    <x v="43"/>
    <x v="271"/>
    <x v="0"/>
  </r>
  <r>
    <x v="0"/>
    <x v="25"/>
    <x v="25"/>
    <x v="42"/>
    <x v="42"/>
    <x v="42"/>
    <x v="12"/>
    <x v="65"/>
    <x v="74"/>
    <x v="80"/>
    <x v="174"/>
    <x v="53"/>
    <x v="136"/>
    <x v="0"/>
  </r>
  <r>
    <x v="0"/>
    <x v="25"/>
    <x v="25"/>
    <x v="2"/>
    <x v="2"/>
    <x v="2"/>
    <x v="12"/>
    <x v="65"/>
    <x v="74"/>
    <x v="75"/>
    <x v="335"/>
    <x v="44"/>
    <x v="197"/>
    <x v="0"/>
  </r>
  <r>
    <x v="0"/>
    <x v="25"/>
    <x v="25"/>
    <x v="5"/>
    <x v="5"/>
    <x v="5"/>
    <x v="14"/>
    <x v="66"/>
    <x v="58"/>
    <x v="75"/>
    <x v="335"/>
    <x v="60"/>
    <x v="4"/>
    <x v="0"/>
  </r>
  <r>
    <x v="0"/>
    <x v="25"/>
    <x v="25"/>
    <x v="18"/>
    <x v="18"/>
    <x v="18"/>
    <x v="14"/>
    <x v="66"/>
    <x v="58"/>
    <x v="69"/>
    <x v="334"/>
    <x v="51"/>
    <x v="75"/>
    <x v="0"/>
  </r>
  <r>
    <x v="0"/>
    <x v="25"/>
    <x v="25"/>
    <x v="7"/>
    <x v="7"/>
    <x v="7"/>
    <x v="16"/>
    <x v="67"/>
    <x v="224"/>
    <x v="49"/>
    <x v="127"/>
    <x v="56"/>
    <x v="272"/>
    <x v="0"/>
  </r>
  <r>
    <x v="0"/>
    <x v="25"/>
    <x v="25"/>
    <x v="62"/>
    <x v="62"/>
    <x v="62"/>
    <x v="16"/>
    <x v="67"/>
    <x v="224"/>
    <x v="76"/>
    <x v="90"/>
    <x v="53"/>
    <x v="136"/>
    <x v="0"/>
  </r>
  <r>
    <x v="0"/>
    <x v="25"/>
    <x v="25"/>
    <x v="63"/>
    <x v="63"/>
    <x v="63"/>
    <x v="18"/>
    <x v="76"/>
    <x v="75"/>
    <x v="97"/>
    <x v="312"/>
    <x v="59"/>
    <x v="247"/>
    <x v="0"/>
  </r>
  <r>
    <x v="0"/>
    <x v="25"/>
    <x v="25"/>
    <x v="11"/>
    <x v="11"/>
    <x v="11"/>
    <x v="18"/>
    <x v="76"/>
    <x v="75"/>
    <x v="62"/>
    <x v="336"/>
    <x v="46"/>
    <x v="270"/>
    <x v="0"/>
  </r>
  <r>
    <x v="0"/>
    <x v="26"/>
    <x v="26"/>
    <x v="1"/>
    <x v="1"/>
    <x v="1"/>
    <x v="0"/>
    <x v="232"/>
    <x v="239"/>
    <x v="184"/>
    <x v="337"/>
    <x v="90"/>
    <x v="273"/>
    <x v="0"/>
  </r>
  <r>
    <x v="0"/>
    <x v="26"/>
    <x v="26"/>
    <x v="0"/>
    <x v="0"/>
    <x v="0"/>
    <x v="1"/>
    <x v="197"/>
    <x v="240"/>
    <x v="70"/>
    <x v="338"/>
    <x v="52"/>
    <x v="36"/>
    <x v="0"/>
  </r>
  <r>
    <x v="0"/>
    <x v="26"/>
    <x v="26"/>
    <x v="3"/>
    <x v="3"/>
    <x v="3"/>
    <x v="2"/>
    <x v="46"/>
    <x v="241"/>
    <x v="39"/>
    <x v="339"/>
    <x v="60"/>
    <x v="137"/>
    <x v="0"/>
  </r>
  <r>
    <x v="0"/>
    <x v="26"/>
    <x v="26"/>
    <x v="7"/>
    <x v="7"/>
    <x v="7"/>
    <x v="3"/>
    <x v="58"/>
    <x v="242"/>
    <x v="78"/>
    <x v="340"/>
    <x v="83"/>
    <x v="274"/>
    <x v="0"/>
  </r>
  <r>
    <x v="0"/>
    <x v="26"/>
    <x v="26"/>
    <x v="9"/>
    <x v="9"/>
    <x v="9"/>
    <x v="4"/>
    <x v="227"/>
    <x v="243"/>
    <x v="102"/>
    <x v="341"/>
    <x v="46"/>
    <x v="113"/>
    <x v="0"/>
  </r>
  <r>
    <x v="0"/>
    <x v="26"/>
    <x v="26"/>
    <x v="6"/>
    <x v="6"/>
    <x v="6"/>
    <x v="5"/>
    <x v="59"/>
    <x v="244"/>
    <x v="87"/>
    <x v="342"/>
    <x v="55"/>
    <x v="5"/>
    <x v="0"/>
  </r>
  <r>
    <x v="0"/>
    <x v="26"/>
    <x v="26"/>
    <x v="4"/>
    <x v="4"/>
    <x v="4"/>
    <x v="6"/>
    <x v="113"/>
    <x v="152"/>
    <x v="34"/>
    <x v="343"/>
    <x v="42"/>
    <x v="42"/>
    <x v="0"/>
  </r>
  <r>
    <x v="0"/>
    <x v="26"/>
    <x v="26"/>
    <x v="12"/>
    <x v="12"/>
    <x v="12"/>
    <x v="7"/>
    <x v="60"/>
    <x v="207"/>
    <x v="147"/>
    <x v="344"/>
    <x v="40"/>
    <x v="92"/>
    <x v="0"/>
  </r>
  <r>
    <x v="0"/>
    <x v="26"/>
    <x v="26"/>
    <x v="5"/>
    <x v="5"/>
    <x v="5"/>
    <x v="7"/>
    <x v="60"/>
    <x v="207"/>
    <x v="56"/>
    <x v="345"/>
    <x v="76"/>
    <x v="43"/>
    <x v="0"/>
  </r>
  <r>
    <x v="0"/>
    <x v="26"/>
    <x v="26"/>
    <x v="2"/>
    <x v="2"/>
    <x v="2"/>
    <x v="9"/>
    <x v="52"/>
    <x v="191"/>
    <x v="103"/>
    <x v="123"/>
    <x v="46"/>
    <x v="113"/>
    <x v="0"/>
  </r>
  <r>
    <x v="0"/>
    <x v="26"/>
    <x v="26"/>
    <x v="10"/>
    <x v="10"/>
    <x v="10"/>
    <x v="10"/>
    <x v="53"/>
    <x v="153"/>
    <x v="78"/>
    <x v="340"/>
    <x v="56"/>
    <x v="275"/>
    <x v="0"/>
  </r>
  <r>
    <x v="0"/>
    <x v="26"/>
    <x v="26"/>
    <x v="14"/>
    <x v="14"/>
    <x v="14"/>
    <x v="11"/>
    <x v="54"/>
    <x v="55"/>
    <x v="68"/>
    <x v="114"/>
    <x v="78"/>
    <x v="276"/>
    <x v="0"/>
  </r>
  <r>
    <x v="0"/>
    <x v="26"/>
    <x v="26"/>
    <x v="8"/>
    <x v="8"/>
    <x v="8"/>
    <x v="11"/>
    <x v="54"/>
    <x v="55"/>
    <x v="80"/>
    <x v="346"/>
    <x v="90"/>
    <x v="273"/>
    <x v="0"/>
  </r>
  <r>
    <x v="0"/>
    <x v="26"/>
    <x v="26"/>
    <x v="19"/>
    <x v="19"/>
    <x v="19"/>
    <x v="13"/>
    <x v="55"/>
    <x v="245"/>
    <x v="66"/>
    <x v="271"/>
    <x v="56"/>
    <x v="275"/>
    <x v="0"/>
  </r>
  <r>
    <x v="0"/>
    <x v="26"/>
    <x v="26"/>
    <x v="20"/>
    <x v="20"/>
    <x v="20"/>
    <x v="14"/>
    <x v="63"/>
    <x v="162"/>
    <x v="56"/>
    <x v="345"/>
    <x v="51"/>
    <x v="261"/>
    <x v="0"/>
  </r>
  <r>
    <x v="0"/>
    <x v="26"/>
    <x v="26"/>
    <x v="11"/>
    <x v="11"/>
    <x v="11"/>
    <x v="15"/>
    <x v="65"/>
    <x v="185"/>
    <x v="73"/>
    <x v="280"/>
    <x v="55"/>
    <x v="5"/>
    <x v="0"/>
  </r>
  <r>
    <x v="0"/>
    <x v="26"/>
    <x v="26"/>
    <x v="17"/>
    <x v="17"/>
    <x v="17"/>
    <x v="16"/>
    <x v="66"/>
    <x v="12"/>
    <x v="47"/>
    <x v="229"/>
    <x v="67"/>
    <x v="195"/>
    <x v="0"/>
  </r>
  <r>
    <x v="0"/>
    <x v="26"/>
    <x v="26"/>
    <x v="18"/>
    <x v="18"/>
    <x v="18"/>
    <x v="17"/>
    <x v="67"/>
    <x v="112"/>
    <x v="78"/>
    <x v="340"/>
    <x v="55"/>
    <x v="5"/>
    <x v="0"/>
  </r>
  <r>
    <x v="0"/>
    <x v="26"/>
    <x v="26"/>
    <x v="33"/>
    <x v="33"/>
    <x v="33"/>
    <x v="18"/>
    <x v="76"/>
    <x v="16"/>
    <x v="66"/>
    <x v="271"/>
    <x v="52"/>
    <x v="36"/>
    <x v="0"/>
  </r>
  <r>
    <x v="0"/>
    <x v="26"/>
    <x v="26"/>
    <x v="21"/>
    <x v="21"/>
    <x v="21"/>
    <x v="19"/>
    <x v="223"/>
    <x v="34"/>
    <x v="76"/>
    <x v="347"/>
    <x v="64"/>
    <x v="247"/>
    <x v="0"/>
  </r>
  <r>
    <x v="0"/>
    <x v="26"/>
    <x v="26"/>
    <x v="13"/>
    <x v="13"/>
    <x v="13"/>
    <x v="19"/>
    <x v="223"/>
    <x v="34"/>
    <x v="49"/>
    <x v="44"/>
    <x v="53"/>
    <x v="223"/>
    <x v="0"/>
  </r>
  <r>
    <x v="0"/>
    <x v="27"/>
    <x v="27"/>
    <x v="0"/>
    <x v="0"/>
    <x v="0"/>
    <x v="0"/>
    <x v="50"/>
    <x v="246"/>
    <x v="61"/>
    <x v="348"/>
    <x v="44"/>
    <x v="190"/>
    <x v="0"/>
  </r>
  <r>
    <x v="0"/>
    <x v="27"/>
    <x v="27"/>
    <x v="7"/>
    <x v="7"/>
    <x v="7"/>
    <x v="1"/>
    <x v="74"/>
    <x v="247"/>
    <x v="47"/>
    <x v="163"/>
    <x v="23"/>
    <x v="277"/>
    <x v="0"/>
  </r>
  <r>
    <x v="0"/>
    <x v="27"/>
    <x v="27"/>
    <x v="4"/>
    <x v="4"/>
    <x v="4"/>
    <x v="2"/>
    <x v="76"/>
    <x v="221"/>
    <x v="73"/>
    <x v="349"/>
    <x v="44"/>
    <x v="190"/>
    <x v="0"/>
  </r>
  <r>
    <x v="0"/>
    <x v="27"/>
    <x v="27"/>
    <x v="3"/>
    <x v="3"/>
    <x v="3"/>
    <x v="3"/>
    <x v="224"/>
    <x v="248"/>
    <x v="78"/>
    <x v="350"/>
    <x v="42"/>
    <x v="42"/>
    <x v="0"/>
  </r>
  <r>
    <x v="0"/>
    <x v="27"/>
    <x v="27"/>
    <x v="1"/>
    <x v="1"/>
    <x v="1"/>
    <x v="4"/>
    <x v="229"/>
    <x v="50"/>
    <x v="50"/>
    <x v="111"/>
    <x v="46"/>
    <x v="278"/>
    <x v="0"/>
  </r>
  <r>
    <x v="0"/>
    <x v="27"/>
    <x v="27"/>
    <x v="12"/>
    <x v="12"/>
    <x v="12"/>
    <x v="5"/>
    <x v="230"/>
    <x v="6"/>
    <x v="80"/>
    <x v="31"/>
    <x v="58"/>
    <x v="255"/>
    <x v="0"/>
  </r>
  <r>
    <x v="0"/>
    <x v="27"/>
    <x v="27"/>
    <x v="64"/>
    <x v="64"/>
    <x v="64"/>
    <x v="5"/>
    <x v="230"/>
    <x v="6"/>
    <x v="140"/>
    <x v="279"/>
    <x v="76"/>
    <x v="279"/>
    <x v="0"/>
  </r>
  <r>
    <x v="0"/>
    <x v="27"/>
    <x v="27"/>
    <x v="6"/>
    <x v="6"/>
    <x v="6"/>
    <x v="5"/>
    <x v="230"/>
    <x v="6"/>
    <x v="55"/>
    <x v="302"/>
    <x v="60"/>
    <x v="208"/>
    <x v="0"/>
  </r>
  <r>
    <x v="0"/>
    <x v="27"/>
    <x v="27"/>
    <x v="18"/>
    <x v="18"/>
    <x v="18"/>
    <x v="5"/>
    <x v="230"/>
    <x v="6"/>
    <x v="66"/>
    <x v="351"/>
    <x v="44"/>
    <x v="190"/>
    <x v="0"/>
  </r>
  <r>
    <x v="0"/>
    <x v="27"/>
    <x v="27"/>
    <x v="17"/>
    <x v="17"/>
    <x v="17"/>
    <x v="9"/>
    <x v="233"/>
    <x v="184"/>
    <x v="67"/>
    <x v="352"/>
    <x v="45"/>
    <x v="125"/>
    <x v="0"/>
  </r>
  <r>
    <x v="0"/>
    <x v="27"/>
    <x v="27"/>
    <x v="19"/>
    <x v="19"/>
    <x v="19"/>
    <x v="9"/>
    <x v="233"/>
    <x v="184"/>
    <x v="68"/>
    <x v="306"/>
    <x v="46"/>
    <x v="278"/>
    <x v="0"/>
  </r>
  <r>
    <x v="0"/>
    <x v="27"/>
    <x v="27"/>
    <x v="10"/>
    <x v="10"/>
    <x v="10"/>
    <x v="9"/>
    <x v="233"/>
    <x v="184"/>
    <x v="50"/>
    <x v="111"/>
    <x v="44"/>
    <x v="190"/>
    <x v="0"/>
  </r>
  <r>
    <x v="0"/>
    <x v="27"/>
    <x v="27"/>
    <x v="5"/>
    <x v="5"/>
    <x v="5"/>
    <x v="9"/>
    <x v="233"/>
    <x v="184"/>
    <x v="47"/>
    <x v="163"/>
    <x v="58"/>
    <x v="255"/>
    <x v="0"/>
  </r>
  <r>
    <x v="0"/>
    <x v="27"/>
    <x v="27"/>
    <x v="65"/>
    <x v="65"/>
    <x v="65"/>
    <x v="9"/>
    <x v="233"/>
    <x v="184"/>
    <x v="162"/>
    <x v="236"/>
    <x v="42"/>
    <x v="42"/>
    <x v="0"/>
  </r>
  <r>
    <x v="0"/>
    <x v="27"/>
    <x v="27"/>
    <x v="9"/>
    <x v="9"/>
    <x v="9"/>
    <x v="9"/>
    <x v="233"/>
    <x v="184"/>
    <x v="76"/>
    <x v="353"/>
    <x v="51"/>
    <x v="106"/>
    <x v="0"/>
  </r>
  <r>
    <x v="0"/>
    <x v="27"/>
    <x v="27"/>
    <x v="27"/>
    <x v="27"/>
    <x v="27"/>
    <x v="15"/>
    <x v="234"/>
    <x v="29"/>
    <x v="50"/>
    <x v="111"/>
    <x v="60"/>
    <x v="208"/>
    <x v="0"/>
  </r>
  <r>
    <x v="0"/>
    <x v="27"/>
    <x v="27"/>
    <x v="11"/>
    <x v="11"/>
    <x v="11"/>
    <x v="15"/>
    <x v="234"/>
    <x v="29"/>
    <x v="76"/>
    <x v="353"/>
    <x v="44"/>
    <x v="190"/>
    <x v="0"/>
  </r>
  <r>
    <x v="0"/>
    <x v="27"/>
    <x v="27"/>
    <x v="22"/>
    <x v="22"/>
    <x v="22"/>
    <x v="15"/>
    <x v="234"/>
    <x v="29"/>
    <x v="50"/>
    <x v="111"/>
    <x v="60"/>
    <x v="208"/>
    <x v="0"/>
  </r>
  <r>
    <x v="0"/>
    <x v="27"/>
    <x v="27"/>
    <x v="66"/>
    <x v="66"/>
    <x v="66"/>
    <x v="15"/>
    <x v="234"/>
    <x v="29"/>
    <x v="50"/>
    <x v="111"/>
    <x v="60"/>
    <x v="208"/>
    <x v="0"/>
  </r>
  <r>
    <x v="0"/>
    <x v="27"/>
    <x v="27"/>
    <x v="54"/>
    <x v="54"/>
    <x v="54"/>
    <x v="19"/>
    <x v="235"/>
    <x v="164"/>
    <x v="68"/>
    <x v="306"/>
    <x v="51"/>
    <x v="106"/>
    <x v="0"/>
  </r>
  <r>
    <x v="0"/>
    <x v="28"/>
    <x v="28"/>
    <x v="0"/>
    <x v="0"/>
    <x v="0"/>
    <x v="0"/>
    <x v="69"/>
    <x v="249"/>
    <x v="71"/>
    <x v="354"/>
    <x v="45"/>
    <x v="247"/>
    <x v="0"/>
  </r>
  <r>
    <x v="0"/>
    <x v="28"/>
    <x v="28"/>
    <x v="7"/>
    <x v="7"/>
    <x v="7"/>
    <x v="1"/>
    <x v="110"/>
    <x v="250"/>
    <x v="68"/>
    <x v="82"/>
    <x v="61"/>
    <x v="280"/>
    <x v="0"/>
  </r>
  <r>
    <x v="0"/>
    <x v="28"/>
    <x v="28"/>
    <x v="4"/>
    <x v="4"/>
    <x v="4"/>
    <x v="2"/>
    <x v="72"/>
    <x v="251"/>
    <x v="103"/>
    <x v="355"/>
    <x v="42"/>
    <x v="42"/>
    <x v="0"/>
  </r>
  <r>
    <x v="0"/>
    <x v="28"/>
    <x v="28"/>
    <x v="6"/>
    <x v="6"/>
    <x v="6"/>
    <x v="3"/>
    <x v="55"/>
    <x v="127"/>
    <x v="52"/>
    <x v="3"/>
    <x v="51"/>
    <x v="201"/>
    <x v="0"/>
  </r>
  <r>
    <x v="0"/>
    <x v="28"/>
    <x v="28"/>
    <x v="9"/>
    <x v="9"/>
    <x v="9"/>
    <x v="4"/>
    <x v="64"/>
    <x v="137"/>
    <x v="69"/>
    <x v="220"/>
    <x v="58"/>
    <x v="157"/>
    <x v="1"/>
  </r>
  <r>
    <x v="0"/>
    <x v="28"/>
    <x v="28"/>
    <x v="11"/>
    <x v="11"/>
    <x v="11"/>
    <x v="5"/>
    <x v="65"/>
    <x v="252"/>
    <x v="78"/>
    <x v="356"/>
    <x v="45"/>
    <x v="247"/>
    <x v="1"/>
  </r>
  <r>
    <x v="0"/>
    <x v="28"/>
    <x v="28"/>
    <x v="14"/>
    <x v="14"/>
    <x v="14"/>
    <x v="6"/>
    <x v="66"/>
    <x v="41"/>
    <x v="59"/>
    <x v="30"/>
    <x v="90"/>
    <x v="281"/>
    <x v="0"/>
  </r>
  <r>
    <x v="0"/>
    <x v="28"/>
    <x v="28"/>
    <x v="21"/>
    <x v="21"/>
    <x v="21"/>
    <x v="7"/>
    <x v="75"/>
    <x v="99"/>
    <x v="80"/>
    <x v="357"/>
    <x v="64"/>
    <x v="282"/>
    <x v="0"/>
  </r>
  <r>
    <x v="0"/>
    <x v="28"/>
    <x v="28"/>
    <x v="17"/>
    <x v="17"/>
    <x v="17"/>
    <x v="8"/>
    <x v="223"/>
    <x v="253"/>
    <x v="49"/>
    <x v="221"/>
    <x v="53"/>
    <x v="250"/>
    <x v="0"/>
  </r>
  <r>
    <x v="0"/>
    <x v="28"/>
    <x v="28"/>
    <x v="10"/>
    <x v="10"/>
    <x v="10"/>
    <x v="8"/>
    <x v="223"/>
    <x v="253"/>
    <x v="55"/>
    <x v="358"/>
    <x v="55"/>
    <x v="283"/>
    <x v="0"/>
  </r>
  <r>
    <x v="0"/>
    <x v="28"/>
    <x v="28"/>
    <x v="8"/>
    <x v="8"/>
    <x v="8"/>
    <x v="8"/>
    <x v="223"/>
    <x v="253"/>
    <x v="76"/>
    <x v="359"/>
    <x v="64"/>
    <x v="282"/>
    <x v="0"/>
  </r>
  <r>
    <x v="0"/>
    <x v="28"/>
    <x v="28"/>
    <x v="12"/>
    <x v="12"/>
    <x v="12"/>
    <x v="11"/>
    <x v="77"/>
    <x v="86"/>
    <x v="96"/>
    <x v="63"/>
    <x v="58"/>
    <x v="157"/>
    <x v="0"/>
  </r>
  <r>
    <x v="0"/>
    <x v="28"/>
    <x v="28"/>
    <x v="5"/>
    <x v="5"/>
    <x v="5"/>
    <x v="11"/>
    <x v="77"/>
    <x v="86"/>
    <x v="78"/>
    <x v="356"/>
    <x v="44"/>
    <x v="2"/>
    <x v="0"/>
  </r>
  <r>
    <x v="0"/>
    <x v="28"/>
    <x v="28"/>
    <x v="19"/>
    <x v="19"/>
    <x v="19"/>
    <x v="13"/>
    <x v="78"/>
    <x v="162"/>
    <x v="47"/>
    <x v="333"/>
    <x v="57"/>
    <x v="185"/>
    <x v="0"/>
  </r>
  <r>
    <x v="0"/>
    <x v="28"/>
    <x v="28"/>
    <x v="18"/>
    <x v="18"/>
    <x v="18"/>
    <x v="14"/>
    <x v="224"/>
    <x v="163"/>
    <x v="62"/>
    <x v="9"/>
    <x v="60"/>
    <x v="284"/>
    <x v="0"/>
  </r>
  <r>
    <x v="0"/>
    <x v="28"/>
    <x v="28"/>
    <x v="1"/>
    <x v="1"/>
    <x v="1"/>
    <x v="15"/>
    <x v="229"/>
    <x v="170"/>
    <x v="47"/>
    <x v="333"/>
    <x v="45"/>
    <x v="247"/>
    <x v="0"/>
  </r>
  <r>
    <x v="0"/>
    <x v="28"/>
    <x v="28"/>
    <x v="49"/>
    <x v="49"/>
    <x v="49"/>
    <x v="16"/>
    <x v="230"/>
    <x v="254"/>
    <x v="68"/>
    <x v="82"/>
    <x v="52"/>
    <x v="38"/>
    <x v="0"/>
  </r>
  <r>
    <x v="0"/>
    <x v="28"/>
    <x v="28"/>
    <x v="67"/>
    <x v="67"/>
    <x v="67"/>
    <x v="16"/>
    <x v="230"/>
    <x v="254"/>
    <x v="140"/>
    <x v="164"/>
    <x v="76"/>
    <x v="285"/>
    <x v="0"/>
  </r>
  <r>
    <x v="0"/>
    <x v="28"/>
    <x v="28"/>
    <x v="28"/>
    <x v="28"/>
    <x v="28"/>
    <x v="16"/>
    <x v="230"/>
    <x v="254"/>
    <x v="47"/>
    <x v="333"/>
    <x v="45"/>
    <x v="247"/>
    <x v="0"/>
  </r>
  <r>
    <x v="0"/>
    <x v="28"/>
    <x v="28"/>
    <x v="68"/>
    <x v="68"/>
    <x v="68"/>
    <x v="16"/>
    <x v="230"/>
    <x v="254"/>
    <x v="80"/>
    <x v="357"/>
    <x v="58"/>
    <x v="157"/>
    <x v="0"/>
  </r>
  <r>
    <x v="0"/>
    <x v="29"/>
    <x v="29"/>
    <x v="1"/>
    <x v="1"/>
    <x v="1"/>
    <x v="0"/>
    <x v="70"/>
    <x v="255"/>
    <x v="48"/>
    <x v="360"/>
    <x v="90"/>
    <x v="286"/>
    <x v="0"/>
  </r>
  <r>
    <x v="0"/>
    <x v="29"/>
    <x v="29"/>
    <x v="0"/>
    <x v="0"/>
    <x v="0"/>
    <x v="1"/>
    <x v="112"/>
    <x v="256"/>
    <x v="98"/>
    <x v="361"/>
    <x v="51"/>
    <x v="190"/>
    <x v="0"/>
  </r>
  <r>
    <x v="0"/>
    <x v="29"/>
    <x v="29"/>
    <x v="9"/>
    <x v="9"/>
    <x v="9"/>
    <x v="2"/>
    <x v="63"/>
    <x v="126"/>
    <x v="147"/>
    <x v="362"/>
    <x v="46"/>
    <x v="287"/>
    <x v="0"/>
  </r>
  <r>
    <x v="0"/>
    <x v="29"/>
    <x v="29"/>
    <x v="8"/>
    <x v="8"/>
    <x v="8"/>
    <x v="3"/>
    <x v="73"/>
    <x v="127"/>
    <x v="50"/>
    <x v="237"/>
    <x v="54"/>
    <x v="288"/>
    <x v="0"/>
  </r>
  <r>
    <x v="0"/>
    <x v="29"/>
    <x v="29"/>
    <x v="4"/>
    <x v="4"/>
    <x v="4"/>
    <x v="4"/>
    <x v="65"/>
    <x v="195"/>
    <x v="147"/>
    <x v="362"/>
    <x v="60"/>
    <x v="50"/>
    <x v="0"/>
  </r>
  <r>
    <x v="0"/>
    <x v="29"/>
    <x v="29"/>
    <x v="6"/>
    <x v="6"/>
    <x v="6"/>
    <x v="5"/>
    <x v="223"/>
    <x v="83"/>
    <x v="53"/>
    <x v="133"/>
    <x v="42"/>
    <x v="42"/>
    <x v="0"/>
  </r>
  <r>
    <x v="0"/>
    <x v="29"/>
    <x v="29"/>
    <x v="3"/>
    <x v="3"/>
    <x v="3"/>
    <x v="6"/>
    <x v="77"/>
    <x v="201"/>
    <x v="73"/>
    <x v="363"/>
    <x v="42"/>
    <x v="42"/>
    <x v="0"/>
  </r>
  <r>
    <x v="0"/>
    <x v="29"/>
    <x v="29"/>
    <x v="18"/>
    <x v="18"/>
    <x v="18"/>
    <x v="6"/>
    <x v="77"/>
    <x v="201"/>
    <x v="78"/>
    <x v="364"/>
    <x v="44"/>
    <x v="27"/>
    <x v="0"/>
  </r>
  <r>
    <x v="0"/>
    <x v="29"/>
    <x v="29"/>
    <x v="7"/>
    <x v="7"/>
    <x v="7"/>
    <x v="8"/>
    <x v="78"/>
    <x v="257"/>
    <x v="49"/>
    <x v="207"/>
    <x v="48"/>
    <x v="289"/>
    <x v="0"/>
  </r>
  <r>
    <x v="0"/>
    <x v="29"/>
    <x v="29"/>
    <x v="11"/>
    <x v="11"/>
    <x v="11"/>
    <x v="8"/>
    <x v="78"/>
    <x v="257"/>
    <x v="97"/>
    <x v="365"/>
    <x v="55"/>
    <x v="233"/>
    <x v="0"/>
  </r>
  <r>
    <x v="0"/>
    <x v="29"/>
    <x v="29"/>
    <x v="10"/>
    <x v="10"/>
    <x v="10"/>
    <x v="10"/>
    <x v="224"/>
    <x v="57"/>
    <x v="47"/>
    <x v="366"/>
    <x v="59"/>
    <x v="290"/>
    <x v="0"/>
  </r>
  <r>
    <x v="0"/>
    <x v="29"/>
    <x v="29"/>
    <x v="5"/>
    <x v="5"/>
    <x v="5"/>
    <x v="11"/>
    <x v="229"/>
    <x v="72"/>
    <x v="96"/>
    <x v="367"/>
    <x v="60"/>
    <x v="50"/>
    <x v="0"/>
  </r>
  <r>
    <x v="0"/>
    <x v="29"/>
    <x v="29"/>
    <x v="2"/>
    <x v="2"/>
    <x v="2"/>
    <x v="11"/>
    <x v="229"/>
    <x v="72"/>
    <x v="62"/>
    <x v="368"/>
    <x v="42"/>
    <x v="42"/>
    <x v="0"/>
  </r>
  <r>
    <x v="0"/>
    <x v="29"/>
    <x v="29"/>
    <x v="38"/>
    <x v="38"/>
    <x v="38"/>
    <x v="13"/>
    <x v="230"/>
    <x v="170"/>
    <x v="67"/>
    <x v="229"/>
    <x v="57"/>
    <x v="291"/>
    <x v="0"/>
  </r>
  <r>
    <x v="0"/>
    <x v="29"/>
    <x v="29"/>
    <x v="13"/>
    <x v="13"/>
    <x v="13"/>
    <x v="13"/>
    <x v="230"/>
    <x v="170"/>
    <x v="68"/>
    <x v="235"/>
    <x v="52"/>
    <x v="292"/>
    <x v="0"/>
  </r>
  <r>
    <x v="0"/>
    <x v="29"/>
    <x v="29"/>
    <x v="68"/>
    <x v="68"/>
    <x v="68"/>
    <x v="13"/>
    <x v="230"/>
    <x v="170"/>
    <x v="50"/>
    <x v="237"/>
    <x v="46"/>
    <x v="287"/>
    <x v="0"/>
  </r>
  <r>
    <x v="0"/>
    <x v="29"/>
    <x v="29"/>
    <x v="20"/>
    <x v="20"/>
    <x v="20"/>
    <x v="16"/>
    <x v="236"/>
    <x v="12"/>
    <x v="97"/>
    <x v="365"/>
    <x v="44"/>
    <x v="27"/>
    <x v="0"/>
  </r>
  <r>
    <x v="0"/>
    <x v="29"/>
    <x v="29"/>
    <x v="28"/>
    <x v="28"/>
    <x v="28"/>
    <x v="16"/>
    <x v="236"/>
    <x v="12"/>
    <x v="47"/>
    <x v="366"/>
    <x v="55"/>
    <x v="233"/>
    <x v="0"/>
  </r>
  <r>
    <x v="0"/>
    <x v="29"/>
    <x v="29"/>
    <x v="66"/>
    <x v="66"/>
    <x v="66"/>
    <x v="16"/>
    <x v="236"/>
    <x v="12"/>
    <x v="80"/>
    <x v="212"/>
    <x v="51"/>
    <x v="190"/>
    <x v="0"/>
  </r>
  <r>
    <x v="0"/>
    <x v="29"/>
    <x v="29"/>
    <x v="12"/>
    <x v="12"/>
    <x v="12"/>
    <x v="19"/>
    <x v="237"/>
    <x v="113"/>
    <x v="97"/>
    <x v="365"/>
    <x v="60"/>
    <x v="50"/>
    <x v="0"/>
  </r>
  <r>
    <x v="0"/>
    <x v="29"/>
    <x v="29"/>
    <x v="22"/>
    <x v="22"/>
    <x v="22"/>
    <x v="19"/>
    <x v="237"/>
    <x v="113"/>
    <x v="66"/>
    <x v="369"/>
    <x v="42"/>
    <x v="42"/>
    <x v="0"/>
  </r>
  <r>
    <x v="0"/>
    <x v="30"/>
    <x v="30"/>
    <x v="0"/>
    <x v="0"/>
    <x v="0"/>
    <x v="0"/>
    <x v="153"/>
    <x v="258"/>
    <x v="108"/>
    <x v="370"/>
    <x v="90"/>
    <x v="188"/>
    <x v="0"/>
  </r>
  <r>
    <x v="0"/>
    <x v="30"/>
    <x v="30"/>
    <x v="1"/>
    <x v="1"/>
    <x v="1"/>
    <x v="1"/>
    <x v="91"/>
    <x v="259"/>
    <x v="64"/>
    <x v="330"/>
    <x v="127"/>
    <x v="293"/>
    <x v="0"/>
  </r>
  <r>
    <x v="0"/>
    <x v="30"/>
    <x v="30"/>
    <x v="2"/>
    <x v="2"/>
    <x v="2"/>
    <x v="2"/>
    <x v="69"/>
    <x v="260"/>
    <x v="71"/>
    <x v="371"/>
    <x v="45"/>
    <x v="71"/>
    <x v="0"/>
  </r>
  <r>
    <x v="0"/>
    <x v="30"/>
    <x v="30"/>
    <x v="3"/>
    <x v="3"/>
    <x v="3"/>
    <x v="3"/>
    <x v="111"/>
    <x v="244"/>
    <x v="43"/>
    <x v="215"/>
    <x v="44"/>
    <x v="58"/>
    <x v="0"/>
  </r>
  <r>
    <x v="0"/>
    <x v="30"/>
    <x v="30"/>
    <x v="7"/>
    <x v="7"/>
    <x v="7"/>
    <x v="4"/>
    <x v="58"/>
    <x v="261"/>
    <x v="68"/>
    <x v="105"/>
    <x v="49"/>
    <x v="294"/>
    <x v="0"/>
  </r>
  <r>
    <x v="0"/>
    <x v="30"/>
    <x v="30"/>
    <x v="4"/>
    <x v="4"/>
    <x v="4"/>
    <x v="4"/>
    <x v="58"/>
    <x v="261"/>
    <x v="60"/>
    <x v="372"/>
    <x v="60"/>
    <x v="57"/>
    <x v="0"/>
  </r>
  <r>
    <x v="0"/>
    <x v="30"/>
    <x v="30"/>
    <x v="8"/>
    <x v="8"/>
    <x v="8"/>
    <x v="6"/>
    <x v="227"/>
    <x v="97"/>
    <x v="97"/>
    <x v="333"/>
    <x v="122"/>
    <x v="285"/>
    <x v="0"/>
  </r>
  <r>
    <x v="0"/>
    <x v="30"/>
    <x v="30"/>
    <x v="9"/>
    <x v="9"/>
    <x v="9"/>
    <x v="7"/>
    <x v="51"/>
    <x v="129"/>
    <x v="54"/>
    <x v="45"/>
    <x v="76"/>
    <x v="20"/>
    <x v="0"/>
  </r>
  <r>
    <x v="0"/>
    <x v="30"/>
    <x v="30"/>
    <x v="6"/>
    <x v="6"/>
    <x v="6"/>
    <x v="7"/>
    <x v="51"/>
    <x v="129"/>
    <x v="87"/>
    <x v="373"/>
    <x v="46"/>
    <x v="295"/>
    <x v="0"/>
  </r>
  <r>
    <x v="0"/>
    <x v="30"/>
    <x v="30"/>
    <x v="10"/>
    <x v="10"/>
    <x v="10"/>
    <x v="9"/>
    <x v="60"/>
    <x v="262"/>
    <x v="56"/>
    <x v="374"/>
    <x v="76"/>
    <x v="20"/>
    <x v="0"/>
  </r>
  <r>
    <x v="0"/>
    <x v="30"/>
    <x v="30"/>
    <x v="21"/>
    <x v="21"/>
    <x v="21"/>
    <x v="10"/>
    <x v="61"/>
    <x v="54"/>
    <x v="47"/>
    <x v="283"/>
    <x v="97"/>
    <x v="196"/>
    <x v="0"/>
  </r>
  <r>
    <x v="0"/>
    <x v="30"/>
    <x v="30"/>
    <x v="11"/>
    <x v="11"/>
    <x v="11"/>
    <x v="11"/>
    <x v="201"/>
    <x v="145"/>
    <x v="135"/>
    <x v="76"/>
    <x v="76"/>
    <x v="20"/>
    <x v="0"/>
  </r>
  <r>
    <x v="0"/>
    <x v="30"/>
    <x v="30"/>
    <x v="13"/>
    <x v="13"/>
    <x v="13"/>
    <x v="12"/>
    <x v="53"/>
    <x v="111"/>
    <x v="47"/>
    <x v="283"/>
    <x v="22"/>
    <x v="136"/>
    <x v="0"/>
  </r>
  <r>
    <x v="0"/>
    <x v="30"/>
    <x v="30"/>
    <x v="12"/>
    <x v="12"/>
    <x v="12"/>
    <x v="13"/>
    <x v="55"/>
    <x v="170"/>
    <x v="78"/>
    <x v="375"/>
    <x v="76"/>
    <x v="20"/>
    <x v="0"/>
  </r>
  <r>
    <x v="0"/>
    <x v="30"/>
    <x v="30"/>
    <x v="15"/>
    <x v="15"/>
    <x v="15"/>
    <x v="13"/>
    <x v="55"/>
    <x v="170"/>
    <x v="50"/>
    <x v="288"/>
    <x v="90"/>
    <x v="188"/>
    <x v="0"/>
  </r>
  <r>
    <x v="0"/>
    <x v="30"/>
    <x v="30"/>
    <x v="33"/>
    <x v="33"/>
    <x v="33"/>
    <x v="15"/>
    <x v="63"/>
    <x v="185"/>
    <x v="97"/>
    <x v="333"/>
    <x v="56"/>
    <x v="296"/>
    <x v="0"/>
  </r>
  <r>
    <x v="0"/>
    <x v="30"/>
    <x v="30"/>
    <x v="17"/>
    <x v="17"/>
    <x v="17"/>
    <x v="15"/>
    <x v="63"/>
    <x v="185"/>
    <x v="97"/>
    <x v="333"/>
    <x v="56"/>
    <x v="296"/>
    <x v="0"/>
  </r>
  <r>
    <x v="0"/>
    <x v="30"/>
    <x v="30"/>
    <x v="19"/>
    <x v="19"/>
    <x v="19"/>
    <x v="15"/>
    <x v="63"/>
    <x v="185"/>
    <x v="50"/>
    <x v="288"/>
    <x v="23"/>
    <x v="39"/>
    <x v="0"/>
  </r>
  <r>
    <x v="0"/>
    <x v="30"/>
    <x v="30"/>
    <x v="28"/>
    <x v="28"/>
    <x v="28"/>
    <x v="18"/>
    <x v="74"/>
    <x v="132"/>
    <x v="80"/>
    <x v="106"/>
    <x v="67"/>
    <x v="187"/>
    <x v="0"/>
  </r>
  <r>
    <x v="0"/>
    <x v="30"/>
    <x v="30"/>
    <x v="23"/>
    <x v="23"/>
    <x v="23"/>
    <x v="19"/>
    <x v="65"/>
    <x v="75"/>
    <x v="96"/>
    <x v="376"/>
    <x v="57"/>
    <x v="297"/>
    <x v="0"/>
  </r>
  <r>
    <x v="0"/>
    <x v="31"/>
    <x v="31"/>
    <x v="1"/>
    <x v="1"/>
    <x v="1"/>
    <x v="0"/>
    <x v="151"/>
    <x v="263"/>
    <x v="132"/>
    <x v="377"/>
    <x v="81"/>
    <x v="298"/>
    <x v="0"/>
  </r>
  <r>
    <x v="0"/>
    <x v="31"/>
    <x v="31"/>
    <x v="0"/>
    <x v="0"/>
    <x v="0"/>
    <x v="1"/>
    <x v="238"/>
    <x v="264"/>
    <x v="32"/>
    <x v="378"/>
    <x v="52"/>
    <x v="170"/>
    <x v="0"/>
  </r>
  <r>
    <x v="0"/>
    <x v="31"/>
    <x v="31"/>
    <x v="4"/>
    <x v="4"/>
    <x v="4"/>
    <x v="2"/>
    <x v="210"/>
    <x v="265"/>
    <x v="110"/>
    <x v="308"/>
    <x v="51"/>
    <x v="299"/>
    <x v="0"/>
  </r>
  <r>
    <x v="0"/>
    <x v="31"/>
    <x v="31"/>
    <x v="9"/>
    <x v="9"/>
    <x v="9"/>
    <x v="3"/>
    <x v="70"/>
    <x v="189"/>
    <x v="46"/>
    <x v="203"/>
    <x v="57"/>
    <x v="241"/>
    <x v="0"/>
  </r>
  <r>
    <x v="0"/>
    <x v="31"/>
    <x v="31"/>
    <x v="2"/>
    <x v="2"/>
    <x v="2"/>
    <x v="4"/>
    <x v="48"/>
    <x v="159"/>
    <x v="133"/>
    <x v="379"/>
    <x v="51"/>
    <x v="299"/>
    <x v="0"/>
  </r>
  <r>
    <x v="0"/>
    <x v="31"/>
    <x v="31"/>
    <x v="17"/>
    <x v="17"/>
    <x v="17"/>
    <x v="5"/>
    <x v="112"/>
    <x v="97"/>
    <x v="76"/>
    <x v="380"/>
    <x v="111"/>
    <x v="300"/>
    <x v="0"/>
  </r>
  <r>
    <x v="0"/>
    <x v="31"/>
    <x v="31"/>
    <x v="5"/>
    <x v="5"/>
    <x v="5"/>
    <x v="6"/>
    <x v="58"/>
    <x v="122"/>
    <x v="48"/>
    <x v="381"/>
    <x v="46"/>
    <x v="24"/>
    <x v="0"/>
  </r>
  <r>
    <x v="0"/>
    <x v="31"/>
    <x v="31"/>
    <x v="10"/>
    <x v="10"/>
    <x v="10"/>
    <x v="7"/>
    <x v="227"/>
    <x v="24"/>
    <x v="103"/>
    <x v="382"/>
    <x v="57"/>
    <x v="241"/>
    <x v="0"/>
  </r>
  <r>
    <x v="0"/>
    <x v="31"/>
    <x v="31"/>
    <x v="3"/>
    <x v="3"/>
    <x v="3"/>
    <x v="8"/>
    <x v="113"/>
    <x v="238"/>
    <x v="101"/>
    <x v="244"/>
    <x v="60"/>
    <x v="209"/>
    <x v="0"/>
  </r>
  <r>
    <x v="0"/>
    <x v="31"/>
    <x v="31"/>
    <x v="6"/>
    <x v="6"/>
    <x v="6"/>
    <x v="9"/>
    <x v="52"/>
    <x v="57"/>
    <x v="103"/>
    <x v="382"/>
    <x v="46"/>
    <x v="24"/>
    <x v="0"/>
  </r>
  <r>
    <x v="0"/>
    <x v="31"/>
    <x v="31"/>
    <x v="13"/>
    <x v="13"/>
    <x v="13"/>
    <x v="10"/>
    <x v="61"/>
    <x v="196"/>
    <x v="66"/>
    <x v="106"/>
    <x v="78"/>
    <x v="301"/>
    <x v="0"/>
  </r>
  <r>
    <x v="0"/>
    <x v="31"/>
    <x v="31"/>
    <x v="14"/>
    <x v="14"/>
    <x v="14"/>
    <x v="11"/>
    <x v="62"/>
    <x v="10"/>
    <x v="49"/>
    <x v="13"/>
    <x v="83"/>
    <x v="302"/>
    <x v="0"/>
  </r>
  <r>
    <x v="0"/>
    <x v="31"/>
    <x v="31"/>
    <x v="28"/>
    <x v="28"/>
    <x v="28"/>
    <x v="11"/>
    <x v="62"/>
    <x v="10"/>
    <x v="97"/>
    <x v="346"/>
    <x v="78"/>
    <x v="301"/>
    <x v="0"/>
  </r>
  <r>
    <x v="0"/>
    <x v="31"/>
    <x v="31"/>
    <x v="15"/>
    <x v="15"/>
    <x v="15"/>
    <x v="13"/>
    <x v="53"/>
    <x v="123"/>
    <x v="66"/>
    <x v="106"/>
    <x v="65"/>
    <x v="16"/>
    <x v="0"/>
  </r>
  <r>
    <x v="0"/>
    <x v="31"/>
    <x v="31"/>
    <x v="8"/>
    <x v="8"/>
    <x v="8"/>
    <x v="14"/>
    <x v="54"/>
    <x v="12"/>
    <x v="49"/>
    <x v="13"/>
    <x v="94"/>
    <x v="135"/>
    <x v="0"/>
  </r>
  <r>
    <x v="0"/>
    <x v="31"/>
    <x v="31"/>
    <x v="32"/>
    <x v="32"/>
    <x v="32"/>
    <x v="15"/>
    <x v="63"/>
    <x v="102"/>
    <x v="50"/>
    <x v="101"/>
    <x v="23"/>
    <x v="66"/>
    <x v="0"/>
  </r>
  <r>
    <x v="0"/>
    <x v="31"/>
    <x v="31"/>
    <x v="48"/>
    <x v="48"/>
    <x v="48"/>
    <x v="15"/>
    <x v="63"/>
    <x v="102"/>
    <x v="47"/>
    <x v="383"/>
    <x v="65"/>
    <x v="16"/>
    <x v="0"/>
  </r>
  <r>
    <x v="0"/>
    <x v="31"/>
    <x v="31"/>
    <x v="21"/>
    <x v="21"/>
    <x v="21"/>
    <x v="15"/>
    <x v="63"/>
    <x v="102"/>
    <x v="76"/>
    <x v="380"/>
    <x v="90"/>
    <x v="67"/>
    <x v="0"/>
  </r>
  <r>
    <x v="0"/>
    <x v="31"/>
    <x v="31"/>
    <x v="66"/>
    <x v="66"/>
    <x v="66"/>
    <x v="15"/>
    <x v="63"/>
    <x v="102"/>
    <x v="73"/>
    <x v="146"/>
    <x v="57"/>
    <x v="241"/>
    <x v="0"/>
  </r>
  <r>
    <x v="0"/>
    <x v="31"/>
    <x v="31"/>
    <x v="49"/>
    <x v="49"/>
    <x v="49"/>
    <x v="19"/>
    <x v="73"/>
    <x v="75"/>
    <x v="49"/>
    <x v="13"/>
    <x v="43"/>
    <x v="95"/>
    <x v="0"/>
  </r>
  <r>
    <x v="0"/>
    <x v="31"/>
    <x v="31"/>
    <x v="12"/>
    <x v="12"/>
    <x v="12"/>
    <x v="19"/>
    <x v="73"/>
    <x v="75"/>
    <x v="53"/>
    <x v="357"/>
    <x v="52"/>
    <x v="170"/>
    <x v="0"/>
  </r>
  <r>
    <x v="0"/>
    <x v="32"/>
    <x v="32"/>
    <x v="1"/>
    <x v="1"/>
    <x v="1"/>
    <x v="0"/>
    <x v="218"/>
    <x v="266"/>
    <x v="185"/>
    <x v="384"/>
    <x v="168"/>
    <x v="303"/>
    <x v="0"/>
  </r>
  <r>
    <x v="0"/>
    <x v="32"/>
    <x v="32"/>
    <x v="0"/>
    <x v="0"/>
    <x v="0"/>
    <x v="1"/>
    <x v="125"/>
    <x v="267"/>
    <x v="166"/>
    <x v="385"/>
    <x v="76"/>
    <x v="270"/>
    <x v="0"/>
  </r>
  <r>
    <x v="0"/>
    <x v="32"/>
    <x v="32"/>
    <x v="10"/>
    <x v="10"/>
    <x v="10"/>
    <x v="2"/>
    <x v="210"/>
    <x v="268"/>
    <x v="48"/>
    <x v="216"/>
    <x v="83"/>
    <x v="304"/>
    <x v="0"/>
  </r>
  <r>
    <x v="0"/>
    <x v="32"/>
    <x v="32"/>
    <x v="30"/>
    <x v="30"/>
    <x v="30"/>
    <x v="3"/>
    <x v="48"/>
    <x v="97"/>
    <x v="59"/>
    <x v="386"/>
    <x v="126"/>
    <x v="305"/>
    <x v="0"/>
  </r>
  <r>
    <x v="0"/>
    <x v="32"/>
    <x v="32"/>
    <x v="18"/>
    <x v="18"/>
    <x v="18"/>
    <x v="4"/>
    <x v="71"/>
    <x v="99"/>
    <x v="126"/>
    <x v="387"/>
    <x v="56"/>
    <x v="36"/>
    <x v="0"/>
  </r>
  <r>
    <x v="0"/>
    <x v="32"/>
    <x v="32"/>
    <x v="6"/>
    <x v="6"/>
    <x v="6"/>
    <x v="5"/>
    <x v="112"/>
    <x v="201"/>
    <x v="61"/>
    <x v="191"/>
    <x v="46"/>
    <x v="55"/>
    <x v="0"/>
  </r>
  <r>
    <x v="0"/>
    <x v="32"/>
    <x v="32"/>
    <x v="14"/>
    <x v="14"/>
    <x v="14"/>
    <x v="6"/>
    <x v="50"/>
    <x v="238"/>
    <x v="49"/>
    <x v="183"/>
    <x v="111"/>
    <x v="306"/>
    <x v="0"/>
  </r>
  <r>
    <x v="0"/>
    <x v="32"/>
    <x v="32"/>
    <x v="4"/>
    <x v="4"/>
    <x v="4"/>
    <x v="6"/>
    <x v="50"/>
    <x v="238"/>
    <x v="160"/>
    <x v="388"/>
    <x v="58"/>
    <x v="299"/>
    <x v="0"/>
  </r>
  <r>
    <x v="0"/>
    <x v="32"/>
    <x v="32"/>
    <x v="7"/>
    <x v="7"/>
    <x v="7"/>
    <x v="8"/>
    <x v="222"/>
    <x v="145"/>
    <x v="49"/>
    <x v="183"/>
    <x v="159"/>
    <x v="159"/>
    <x v="0"/>
  </r>
  <r>
    <x v="0"/>
    <x v="32"/>
    <x v="32"/>
    <x v="13"/>
    <x v="13"/>
    <x v="13"/>
    <x v="8"/>
    <x v="222"/>
    <x v="145"/>
    <x v="96"/>
    <x v="389"/>
    <x v="97"/>
    <x v="307"/>
    <x v="0"/>
  </r>
  <r>
    <x v="0"/>
    <x v="32"/>
    <x v="32"/>
    <x v="26"/>
    <x v="26"/>
    <x v="26"/>
    <x v="10"/>
    <x v="59"/>
    <x v="9"/>
    <x v="80"/>
    <x v="352"/>
    <x v="122"/>
    <x v="146"/>
    <x v="0"/>
  </r>
  <r>
    <x v="0"/>
    <x v="32"/>
    <x v="32"/>
    <x v="9"/>
    <x v="9"/>
    <x v="9"/>
    <x v="10"/>
    <x v="59"/>
    <x v="9"/>
    <x v="65"/>
    <x v="253"/>
    <x v="48"/>
    <x v="166"/>
    <x v="0"/>
  </r>
  <r>
    <x v="0"/>
    <x v="32"/>
    <x v="32"/>
    <x v="17"/>
    <x v="17"/>
    <x v="17"/>
    <x v="12"/>
    <x v="52"/>
    <x v="28"/>
    <x v="49"/>
    <x v="183"/>
    <x v="93"/>
    <x v="186"/>
    <x v="0"/>
  </r>
  <r>
    <x v="0"/>
    <x v="32"/>
    <x v="32"/>
    <x v="2"/>
    <x v="2"/>
    <x v="2"/>
    <x v="12"/>
    <x v="52"/>
    <x v="28"/>
    <x v="126"/>
    <x v="387"/>
    <x v="51"/>
    <x v="22"/>
    <x v="0"/>
  </r>
  <r>
    <x v="0"/>
    <x v="32"/>
    <x v="32"/>
    <x v="8"/>
    <x v="8"/>
    <x v="8"/>
    <x v="14"/>
    <x v="62"/>
    <x v="186"/>
    <x v="76"/>
    <x v="190"/>
    <x v="99"/>
    <x v="240"/>
    <x v="0"/>
  </r>
  <r>
    <x v="0"/>
    <x v="32"/>
    <x v="32"/>
    <x v="15"/>
    <x v="15"/>
    <x v="15"/>
    <x v="14"/>
    <x v="62"/>
    <x v="186"/>
    <x v="66"/>
    <x v="107"/>
    <x v="63"/>
    <x v="233"/>
    <x v="0"/>
  </r>
  <r>
    <x v="0"/>
    <x v="32"/>
    <x v="32"/>
    <x v="28"/>
    <x v="28"/>
    <x v="28"/>
    <x v="16"/>
    <x v="201"/>
    <x v="254"/>
    <x v="47"/>
    <x v="390"/>
    <x v="99"/>
    <x v="240"/>
    <x v="0"/>
  </r>
  <r>
    <x v="0"/>
    <x v="32"/>
    <x v="32"/>
    <x v="49"/>
    <x v="49"/>
    <x v="49"/>
    <x v="17"/>
    <x v="53"/>
    <x v="164"/>
    <x v="80"/>
    <x v="352"/>
    <x v="63"/>
    <x v="233"/>
    <x v="0"/>
  </r>
  <r>
    <x v="0"/>
    <x v="32"/>
    <x v="32"/>
    <x v="5"/>
    <x v="5"/>
    <x v="5"/>
    <x v="18"/>
    <x v="202"/>
    <x v="87"/>
    <x v="54"/>
    <x v="391"/>
    <x v="58"/>
    <x v="299"/>
    <x v="0"/>
  </r>
  <r>
    <x v="0"/>
    <x v="32"/>
    <x v="32"/>
    <x v="21"/>
    <x v="21"/>
    <x v="21"/>
    <x v="19"/>
    <x v="54"/>
    <x v="15"/>
    <x v="49"/>
    <x v="183"/>
    <x v="94"/>
    <x v="15"/>
    <x v="0"/>
  </r>
  <r>
    <x v="0"/>
    <x v="32"/>
    <x v="32"/>
    <x v="16"/>
    <x v="16"/>
    <x v="16"/>
    <x v="19"/>
    <x v="54"/>
    <x v="15"/>
    <x v="68"/>
    <x v="114"/>
    <x v="78"/>
    <x v="153"/>
    <x v="0"/>
  </r>
  <r>
    <x v="0"/>
    <x v="33"/>
    <x v="33"/>
    <x v="0"/>
    <x v="0"/>
    <x v="0"/>
    <x v="0"/>
    <x v="195"/>
    <x v="269"/>
    <x v="186"/>
    <x v="392"/>
    <x v="52"/>
    <x v="10"/>
    <x v="0"/>
  </r>
  <r>
    <x v="0"/>
    <x v="33"/>
    <x v="33"/>
    <x v="7"/>
    <x v="7"/>
    <x v="7"/>
    <x v="1"/>
    <x v="70"/>
    <x v="270"/>
    <x v="77"/>
    <x v="208"/>
    <x v="125"/>
    <x v="308"/>
    <x v="0"/>
  </r>
  <r>
    <x v="0"/>
    <x v="33"/>
    <x v="33"/>
    <x v="4"/>
    <x v="4"/>
    <x v="4"/>
    <x v="2"/>
    <x v="111"/>
    <x v="271"/>
    <x v="98"/>
    <x v="170"/>
    <x v="58"/>
    <x v="194"/>
    <x v="0"/>
  </r>
  <r>
    <x v="0"/>
    <x v="33"/>
    <x v="33"/>
    <x v="1"/>
    <x v="1"/>
    <x v="1"/>
    <x v="3"/>
    <x v="58"/>
    <x v="126"/>
    <x v="66"/>
    <x v="230"/>
    <x v="62"/>
    <x v="309"/>
    <x v="0"/>
  </r>
  <r>
    <x v="0"/>
    <x v="33"/>
    <x v="33"/>
    <x v="6"/>
    <x v="6"/>
    <x v="6"/>
    <x v="4"/>
    <x v="227"/>
    <x v="237"/>
    <x v="101"/>
    <x v="393"/>
    <x v="58"/>
    <x v="194"/>
    <x v="0"/>
  </r>
  <r>
    <x v="0"/>
    <x v="33"/>
    <x v="33"/>
    <x v="5"/>
    <x v="5"/>
    <x v="5"/>
    <x v="5"/>
    <x v="59"/>
    <x v="67"/>
    <x v="87"/>
    <x v="394"/>
    <x v="55"/>
    <x v="141"/>
    <x v="0"/>
  </r>
  <r>
    <x v="0"/>
    <x v="33"/>
    <x v="33"/>
    <x v="18"/>
    <x v="18"/>
    <x v="18"/>
    <x v="6"/>
    <x v="202"/>
    <x v="23"/>
    <x v="56"/>
    <x v="395"/>
    <x v="55"/>
    <x v="141"/>
    <x v="0"/>
  </r>
  <r>
    <x v="0"/>
    <x v="33"/>
    <x v="33"/>
    <x v="9"/>
    <x v="9"/>
    <x v="9"/>
    <x v="7"/>
    <x v="55"/>
    <x v="253"/>
    <x v="147"/>
    <x v="62"/>
    <x v="55"/>
    <x v="141"/>
    <x v="0"/>
  </r>
  <r>
    <x v="0"/>
    <x v="33"/>
    <x v="33"/>
    <x v="2"/>
    <x v="2"/>
    <x v="2"/>
    <x v="8"/>
    <x v="73"/>
    <x v="145"/>
    <x v="74"/>
    <x v="396"/>
    <x v="51"/>
    <x v="226"/>
    <x v="0"/>
  </r>
  <r>
    <x v="0"/>
    <x v="33"/>
    <x v="33"/>
    <x v="11"/>
    <x v="11"/>
    <x v="11"/>
    <x v="9"/>
    <x v="74"/>
    <x v="162"/>
    <x v="73"/>
    <x v="329"/>
    <x v="52"/>
    <x v="10"/>
    <x v="0"/>
  </r>
  <r>
    <x v="0"/>
    <x v="33"/>
    <x v="33"/>
    <x v="16"/>
    <x v="16"/>
    <x v="16"/>
    <x v="9"/>
    <x v="74"/>
    <x v="162"/>
    <x v="47"/>
    <x v="101"/>
    <x v="23"/>
    <x v="237"/>
    <x v="0"/>
  </r>
  <r>
    <x v="0"/>
    <x v="33"/>
    <x v="33"/>
    <x v="22"/>
    <x v="22"/>
    <x v="22"/>
    <x v="9"/>
    <x v="74"/>
    <x v="162"/>
    <x v="52"/>
    <x v="1"/>
    <x v="42"/>
    <x v="42"/>
    <x v="0"/>
  </r>
  <r>
    <x v="0"/>
    <x v="33"/>
    <x v="33"/>
    <x v="12"/>
    <x v="12"/>
    <x v="12"/>
    <x v="12"/>
    <x v="65"/>
    <x v="139"/>
    <x v="53"/>
    <x v="111"/>
    <x v="46"/>
    <x v="51"/>
    <x v="0"/>
  </r>
  <r>
    <x v="0"/>
    <x v="33"/>
    <x v="33"/>
    <x v="14"/>
    <x v="14"/>
    <x v="14"/>
    <x v="13"/>
    <x v="66"/>
    <x v="170"/>
    <x v="67"/>
    <x v="34"/>
    <x v="23"/>
    <x v="237"/>
    <x v="0"/>
  </r>
  <r>
    <x v="0"/>
    <x v="33"/>
    <x v="33"/>
    <x v="8"/>
    <x v="8"/>
    <x v="8"/>
    <x v="13"/>
    <x v="66"/>
    <x v="170"/>
    <x v="50"/>
    <x v="397"/>
    <x v="53"/>
    <x v="262"/>
    <x v="0"/>
  </r>
  <r>
    <x v="0"/>
    <x v="33"/>
    <x v="33"/>
    <x v="33"/>
    <x v="33"/>
    <x v="33"/>
    <x v="15"/>
    <x v="67"/>
    <x v="186"/>
    <x v="50"/>
    <x v="397"/>
    <x v="76"/>
    <x v="97"/>
    <x v="0"/>
  </r>
  <r>
    <x v="0"/>
    <x v="33"/>
    <x v="33"/>
    <x v="66"/>
    <x v="66"/>
    <x v="66"/>
    <x v="16"/>
    <x v="223"/>
    <x v="133"/>
    <x v="97"/>
    <x v="131"/>
    <x v="52"/>
    <x v="10"/>
    <x v="0"/>
  </r>
  <r>
    <x v="0"/>
    <x v="33"/>
    <x v="33"/>
    <x v="13"/>
    <x v="13"/>
    <x v="13"/>
    <x v="17"/>
    <x v="77"/>
    <x v="90"/>
    <x v="77"/>
    <x v="208"/>
    <x v="67"/>
    <x v="176"/>
    <x v="0"/>
  </r>
  <r>
    <x v="0"/>
    <x v="33"/>
    <x v="33"/>
    <x v="3"/>
    <x v="3"/>
    <x v="3"/>
    <x v="17"/>
    <x v="77"/>
    <x v="90"/>
    <x v="73"/>
    <x v="329"/>
    <x v="42"/>
    <x v="42"/>
    <x v="0"/>
  </r>
  <r>
    <x v="0"/>
    <x v="33"/>
    <x v="33"/>
    <x v="19"/>
    <x v="19"/>
    <x v="19"/>
    <x v="19"/>
    <x v="78"/>
    <x v="91"/>
    <x v="66"/>
    <x v="230"/>
    <x v="46"/>
    <x v="51"/>
    <x v="0"/>
  </r>
  <r>
    <x v="0"/>
    <x v="33"/>
    <x v="33"/>
    <x v="28"/>
    <x v="28"/>
    <x v="28"/>
    <x v="19"/>
    <x v="78"/>
    <x v="91"/>
    <x v="49"/>
    <x v="154"/>
    <x v="48"/>
    <x v="151"/>
    <x v="0"/>
  </r>
  <r>
    <x v="0"/>
    <x v="34"/>
    <x v="34"/>
    <x v="0"/>
    <x v="0"/>
    <x v="0"/>
    <x v="0"/>
    <x v="112"/>
    <x v="272"/>
    <x v="61"/>
    <x v="398"/>
    <x v="46"/>
    <x v="71"/>
    <x v="0"/>
  </r>
  <r>
    <x v="0"/>
    <x v="34"/>
    <x v="34"/>
    <x v="1"/>
    <x v="1"/>
    <x v="1"/>
    <x v="1"/>
    <x v="222"/>
    <x v="273"/>
    <x v="68"/>
    <x v="333"/>
    <x v="66"/>
    <x v="310"/>
    <x v="0"/>
  </r>
  <r>
    <x v="0"/>
    <x v="34"/>
    <x v="34"/>
    <x v="10"/>
    <x v="10"/>
    <x v="10"/>
    <x v="2"/>
    <x v="60"/>
    <x v="274"/>
    <x v="135"/>
    <x v="399"/>
    <x v="56"/>
    <x v="14"/>
    <x v="0"/>
  </r>
  <r>
    <x v="0"/>
    <x v="34"/>
    <x v="34"/>
    <x v="6"/>
    <x v="6"/>
    <x v="6"/>
    <x v="3"/>
    <x v="72"/>
    <x v="217"/>
    <x v="52"/>
    <x v="400"/>
    <x v="55"/>
    <x v="76"/>
    <x v="0"/>
  </r>
  <r>
    <x v="0"/>
    <x v="34"/>
    <x v="34"/>
    <x v="11"/>
    <x v="11"/>
    <x v="11"/>
    <x v="4"/>
    <x v="54"/>
    <x v="275"/>
    <x v="62"/>
    <x v="401"/>
    <x v="53"/>
    <x v="311"/>
    <x v="1"/>
  </r>
  <r>
    <x v="0"/>
    <x v="34"/>
    <x v="34"/>
    <x v="7"/>
    <x v="7"/>
    <x v="7"/>
    <x v="5"/>
    <x v="63"/>
    <x v="276"/>
    <x v="67"/>
    <x v="347"/>
    <x v="78"/>
    <x v="121"/>
    <x v="0"/>
  </r>
  <r>
    <x v="0"/>
    <x v="34"/>
    <x v="34"/>
    <x v="4"/>
    <x v="4"/>
    <x v="4"/>
    <x v="6"/>
    <x v="73"/>
    <x v="144"/>
    <x v="74"/>
    <x v="402"/>
    <x v="51"/>
    <x v="74"/>
    <x v="0"/>
  </r>
  <r>
    <x v="0"/>
    <x v="34"/>
    <x v="34"/>
    <x v="15"/>
    <x v="15"/>
    <x v="15"/>
    <x v="7"/>
    <x v="74"/>
    <x v="277"/>
    <x v="47"/>
    <x v="403"/>
    <x v="23"/>
    <x v="172"/>
    <x v="0"/>
  </r>
  <r>
    <x v="0"/>
    <x v="34"/>
    <x v="34"/>
    <x v="9"/>
    <x v="9"/>
    <x v="9"/>
    <x v="7"/>
    <x v="74"/>
    <x v="277"/>
    <x v="75"/>
    <x v="404"/>
    <x v="58"/>
    <x v="75"/>
    <x v="0"/>
  </r>
  <r>
    <x v="0"/>
    <x v="34"/>
    <x v="34"/>
    <x v="12"/>
    <x v="12"/>
    <x v="12"/>
    <x v="9"/>
    <x v="64"/>
    <x v="83"/>
    <x v="78"/>
    <x v="363"/>
    <x v="59"/>
    <x v="205"/>
    <x v="0"/>
  </r>
  <r>
    <x v="0"/>
    <x v="34"/>
    <x v="34"/>
    <x v="17"/>
    <x v="17"/>
    <x v="17"/>
    <x v="10"/>
    <x v="75"/>
    <x v="111"/>
    <x v="59"/>
    <x v="114"/>
    <x v="54"/>
    <x v="312"/>
    <x v="0"/>
  </r>
  <r>
    <x v="0"/>
    <x v="34"/>
    <x v="34"/>
    <x v="8"/>
    <x v="8"/>
    <x v="8"/>
    <x v="10"/>
    <x v="75"/>
    <x v="111"/>
    <x v="67"/>
    <x v="347"/>
    <x v="56"/>
    <x v="14"/>
    <x v="0"/>
  </r>
  <r>
    <x v="0"/>
    <x v="34"/>
    <x v="34"/>
    <x v="14"/>
    <x v="14"/>
    <x v="14"/>
    <x v="12"/>
    <x v="76"/>
    <x v="154"/>
    <x v="59"/>
    <x v="114"/>
    <x v="56"/>
    <x v="14"/>
    <x v="0"/>
  </r>
  <r>
    <x v="0"/>
    <x v="34"/>
    <x v="34"/>
    <x v="13"/>
    <x v="13"/>
    <x v="13"/>
    <x v="12"/>
    <x v="76"/>
    <x v="154"/>
    <x v="140"/>
    <x v="161"/>
    <x v="23"/>
    <x v="172"/>
    <x v="0"/>
  </r>
  <r>
    <x v="0"/>
    <x v="34"/>
    <x v="34"/>
    <x v="16"/>
    <x v="16"/>
    <x v="16"/>
    <x v="14"/>
    <x v="223"/>
    <x v="73"/>
    <x v="47"/>
    <x v="403"/>
    <x v="48"/>
    <x v="247"/>
    <x v="0"/>
  </r>
  <r>
    <x v="0"/>
    <x v="34"/>
    <x v="34"/>
    <x v="21"/>
    <x v="21"/>
    <x v="21"/>
    <x v="15"/>
    <x v="77"/>
    <x v="30"/>
    <x v="49"/>
    <x v="346"/>
    <x v="76"/>
    <x v="260"/>
    <x v="0"/>
  </r>
  <r>
    <x v="0"/>
    <x v="34"/>
    <x v="34"/>
    <x v="31"/>
    <x v="31"/>
    <x v="31"/>
    <x v="15"/>
    <x v="77"/>
    <x v="30"/>
    <x v="140"/>
    <x v="161"/>
    <x v="56"/>
    <x v="14"/>
    <x v="0"/>
  </r>
  <r>
    <x v="0"/>
    <x v="34"/>
    <x v="34"/>
    <x v="28"/>
    <x v="28"/>
    <x v="28"/>
    <x v="15"/>
    <x v="77"/>
    <x v="30"/>
    <x v="49"/>
    <x v="346"/>
    <x v="76"/>
    <x v="260"/>
    <x v="0"/>
  </r>
  <r>
    <x v="0"/>
    <x v="34"/>
    <x v="34"/>
    <x v="19"/>
    <x v="19"/>
    <x v="19"/>
    <x v="18"/>
    <x v="78"/>
    <x v="31"/>
    <x v="76"/>
    <x v="237"/>
    <x v="59"/>
    <x v="205"/>
    <x v="0"/>
  </r>
  <r>
    <x v="0"/>
    <x v="34"/>
    <x v="34"/>
    <x v="22"/>
    <x v="22"/>
    <x v="22"/>
    <x v="18"/>
    <x v="78"/>
    <x v="31"/>
    <x v="62"/>
    <x v="401"/>
    <x v="44"/>
    <x v="72"/>
    <x v="0"/>
  </r>
  <r>
    <x v="0"/>
    <x v="35"/>
    <x v="35"/>
    <x v="0"/>
    <x v="0"/>
    <x v="0"/>
    <x v="0"/>
    <x v="107"/>
    <x v="278"/>
    <x v="112"/>
    <x v="405"/>
    <x v="51"/>
    <x v="313"/>
    <x v="0"/>
  </r>
  <r>
    <x v="0"/>
    <x v="35"/>
    <x v="35"/>
    <x v="1"/>
    <x v="1"/>
    <x v="1"/>
    <x v="1"/>
    <x v="51"/>
    <x v="279"/>
    <x v="63"/>
    <x v="193"/>
    <x v="48"/>
    <x v="314"/>
    <x v="0"/>
  </r>
  <r>
    <x v="0"/>
    <x v="35"/>
    <x v="35"/>
    <x v="10"/>
    <x v="10"/>
    <x v="10"/>
    <x v="2"/>
    <x v="113"/>
    <x v="179"/>
    <x v="74"/>
    <x v="262"/>
    <x v="40"/>
    <x v="173"/>
    <x v="0"/>
  </r>
  <r>
    <x v="0"/>
    <x v="35"/>
    <x v="35"/>
    <x v="6"/>
    <x v="6"/>
    <x v="6"/>
    <x v="3"/>
    <x v="54"/>
    <x v="143"/>
    <x v="65"/>
    <x v="406"/>
    <x v="60"/>
    <x v="44"/>
    <x v="0"/>
  </r>
  <r>
    <x v="0"/>
    <x v="35"/>
    <x v="35"/>
    <x v="4"/>
    <x v="4"/>
    <x v="4"/>
    <x v="4"/>
    <x v="63"/>
    <x v="280"/>
    <x v="52"/>
    <x v="407"/>
    <x v="44"/>
    <x v="199"/>
    <x v="0"/>
  </r>
  <r>
    <x v="0"/>
    <x v="35"/>
    <x v="35"/>
    <x v="2"/>
    <x v="2"/>
    <x v="2"/>
    <x v="5"/>
    <x v="73"/>
    <x v="50"/>
    <x v="74"/>
    <x v="262"/>
    <x v="51"/>
    <x v="313"/>
    <x v="0"/>
  </r>
  <r>
    <x v="0"/>
    <x v="35"/>
    <x v="35"/>
    <x v="7"/>
    <x v="7"/>
    <x v="7"/>
    <x v="6"/>
    <x v="64"/>
    <x v="99"/>
    <x v="59"/>
    <x v="278"/>
    <x v="43"/>
    <x v="200"/>
    <x v="0"/>
  </r>
  <r>
    <x v="0"/>
    <x v="35"/>
    <x v="35"/>
    <x v="14"/>
    <x v="14"/>
    <x v="14"/>
    <x v="6"/>
    <x v="64"/>
    <x v="99"/>
    <x v="49"/>
    <x v="347"/>
    <x v="90"/>
    <x v="315"/>
    <x v="0"/>
  </r>
  <r>
    <x v="0"/>
    <x v="35"/>
    <x v="35"/>
    <x v="9"/>
    <x v="9"/>
    <x v="9"/>
    <x v="6"/>
    <x v="64"/>
    <x v="99"/>
    <x v="135"/>
    <x v="408"/>
    <x v="58"/>
    <x v="71"/>
    <x v="0"/>
  </r>
  <r>
    <x v="0"/>
    <x v="35"/>
    <x v="35"/>
    <x v="64"/>
    <x v="64"/>
    <x v="64"/>
    <x v="9"/>
    <x v="65"/>
    <x v="53"/>
    <x v="77"/>
    <x v="113"/>
    <x v="65"/>
    <x v="316"/>
    <x v="0"/>
  </r>
  <r>
    <x v="0"/>
    <x v="35"/>
    <x v="35"/>
    <x v="33"/>
    <x v="33"/>
    <x v="33"/>
    <x v="10"/>
    <x v="66"/>
    <x v="160"/>
    <x v="80"/>
    <x v="340"/>
    <x v="76"/>
    <x v="317"/>
    <x v="0"/>
  </r>
  <r>
    <x v="0"/>
    <x v="35"/>
    <x v="35"/>
    <x v="18"/>
    <x v="18"/>
    <x v="18"/>
    <x v="11"/>
    <x v="75"/>
    <x v="145"/>
    <x v="62"/>
    <x v="63"/>
    <x v="55"/>
    <x v="122"/>
    <x v="0"/>
  </r>
  <r>
    <x v="0"/>
    <x v="35"/>
    <x v="35"/>
    <x v="5"/>
    <x v="5"/>
    <x v="5"/>
    <x v="12"/>
    <x v="76"/>
    <x v="9"/>
    <x v="73"/>
    <x v="275"/>
    <x v="44"/>
    <x v="199"/>
    <x v="0"/>
  </r>
  <r>
    <x v="0"/>
    <x v="35"/>
    <x v="35"/>
    <x v="3"/>
    <x v="3"/>
    <x v="3"/>
    <x v="13"/>
    <x v="223"/>
    <x v="44"/>
    <x v="53"/>
    <x v="1"/>
    <x v="42"/>
    <x v="42"/>
    <x v="0"/>
  </r>
  <r>
    <x v="0"/>
    <x v="35"/>
    <x v="35"/>
    <x v="17"/>
    <x v="17"/>
    <x v="17"/>
    <x v="14"/>
    <x v="229"/>
    <x v="32"/>
    <x v="49"/>
    <x v="347"/>
    <x v="57"/>
    <x v="151"/>
    <x v="0"/>
  </r>
  <r>
    <x v="0"/>
    <x v="35"/>
    <x v="35"/>
    <x v="21"/>
    <x v="21"/>
    <x v="21"/>
    <x v="14"/>
    <x v="229"/>
    <x v="32"/>
    <x v="59"/>
    <x v="278"/>
    <x v="48"/>
    <x v="314"/>
    <x v="0"/>
  </r>
  <r>
    <x v="0"/>
    <x v="35"/>
    <x v="35"/>
    <x v="12"/>
    <x v="12"/>
    <x v="12"/>
    <x v="14"/>
    <x v="229"/>
    <x v="32"/>
    <x v="97"/>
    <x v="81"/>
    <x v="58"/>
    <x v="71"/>
    <x v="0"/>
  </r>
  <r>
    <x v="0"/>
    <x v="35"/>
    <x v="35"/>
    <x v="23"/>
    <x v="23"/>
    <x v="23"/>
    <x v="17"/>
    <x v="230"/>
    <x v="90"/>
    <x v="97"/>
    <x v="81"/>
    <x v="51"/>
    <x v="313"/>
    <x v="0"/>
  </r>
  <r>
    <x v="0"/>
    <x v="35"/>
    <x v="35"/>
    <x v="8"/>
    <x v="8"/>
    <x v="8"/>
    <x v="17"/>
    <x v="230"/>
    <x v="90"/>
    <x v="59"/>
    <x v="278"/>
    <x v="64"/>
    <x v="67"/>
    <x v="0"/>
  </r>
  <r>
    <x v="0"/>
    <x v="35"/>
    <x v="35"/>
    <x v="13"/>
    <x v="13"/>
    <x v="13"/>
    <x v="17"/>
    <x v="230"/>
    <x v="90"/>
    <x v="59"/>
    <x v="278"/>
    <x v="64"/>
    <x v="67"/>
    <x v="0"/>
  </r>
  <r>
    <x v="0"/>
    <x v="35"/>
    <x v="35"/>
    <x v="22"/>
    <x v="22"/>
    <x v="22"/>
    <x v="17"/>
    <x v="230"/>
    <x v="90"/>
    <x v="66"/>
    <x v="51"/>
    <x v="44"/>
    <x v="199"/>
    <x v="0"/>
  </r>
  <r>
    <x v="0"/>
    <x v="36"/>
    <x v="36"/>
    <x v="0"/>
    <x v="0"/>
    <x v="0"/>
    <x v="0"/>
    <x v="46"/>
    <x v="281"/>
    <x v="133"/>
    <x v="409"/>
    <x v="52"/>
    <x v="318"/>
    <x v="0"/>
  </r>
  <r>
    <x v="0"/>
    <x v="36"/>
    <x v="36"/>
    <x v="6"/>
    <x v="6"/>
    <x v="6"/>
    <x v="1"/>
    <x v="59"/>
    <x v="282"/>
    <x v="102"/>
    <x v="410"/>
    <x v="58"/>
    <x v="227"/>
    <x v="0"/>
  </r>
  <r>
    <x v="0"/>
    <x v="36"/>
    <x v="36"/>
    <x v="4"/>
    <x v="4"/>
    <x v="4"/>
    <x v="2"/>
    <x v="61"/>
    <x v="66"/>
    <x v="126"/>
    <x v="215"/>
    <x v="44"/>
    <x v="319"/>
    <x v="0"/>
  </r>
  <r>
    <x v="0"/>
    <x v="36"/>
    <x v="36"/>
    <x v="7"/>
    <x v="7"/>
    <x v="7"/>
    <x v="3"/>
    <x v="62"/>
    <x v="283"/>
    <x v="59"/>
    <x v="14"/>
    <x v="93"/>
    <x v="320"/>
    <x v="0"/>
  </r>
  <r>
    <x v="0"/>
    <x v="36"/>
    <x v="36"/>
    <x v="9"/>
    <x v="9"/>
    <x v="9"/>
    <x v="3"/>
    <x v="62"/>
    <x v="283"/>
    <x v="103"/>
    <x v="411"/>
    <x v="51"/>
    <x v="194"/>
    <x v="0"/>
  </r>
  <r>
    <x v="0"/>
    <x v="36"/>
    <x v="36"/>
    <x v="33"/>
    <x v="33"/>
    <x v="33"/>
    <x v="5"/>
    <x v="202"/>
    <x v="180"/>
    <x v="96"/>
    <x v="412"/>
    <x v="56"/>
    <x v="121"/>
    <x v="0"/>
  </r>
  <r>
    <x v="0"/>
    <x v="36"/>
    <x v="36"/>
    <x v="5"/>
    <x v="5"/>
    <x v="5"/>
    <x v="6"/>
    <x v="55"/>
    <x v="96"/>
    <x v="147"/>
    <x v="317"/>
    <x v="55"/>
    <x v="257"/>
    <x v="0"/>
  </r>
  <r>
    <x v="0"/>
    <x v="36"/>
    <x v="36"/>
    <x v="23"/>
    <x v="23"/>
    <x v="23"/>
    <x v="7"/>
    <x v="63"/>
    <x v="284"/>
    <x v="135"/>
    <x v="413"/>
    <x v="45"/>
    <x v="321"/>
    <x v="0"/>
  </r>
  <r>
    <x v="0"/>
    <x v="36"/>
    <x v="36"/>
    <x v="16"/>
    <x v="16"/>
    <x v="16"/>
    <x v="8"/>
    <x v="66"/>
    <x v="24"/>
    <x v="67"/>
    <x v="414"/>
    <x v="23"/>
    <x v="236"/>
    <x v="0"/>
  </r>
  <r>
    <x v="0"/>
    <x v="36"/>
    <x v="36"/>
    <x v="2"/>
    <x v="2"/>
    <x v="2"/>
    <x v="8"/>
    <x v="66"/>
    <x v="24"/>
    <x v="69"/>
    <x v="415"/>
    <x v="51"/>
    <x v="194"/>
    <x v="0"/>
  </r>
  <r>
    <x v="0"/>
    <x v="36"/>
    <x v="36"/>
    <x v="11"/>
    <x v="11"/>
    <x v="11"/>
    <x v="10"/>
    <x v="67"/>
    <x v="110"/>
    <x v="62"/>
    <x v="332"/>
    <x v="45"/>
    <x v="321"/>
    <x v="0"/>
  </r>
  <r>
    <x v="0"/>
    <x v="36"/>
    <x v="36"/>
    <x v="19"/>
    <x v="19"/>
    <x v="19"/>
    <x v="11"/>
    <x v="75"/>
    <x v="56"/>
    <x v="68"/>
    <x v="207"/>
    <x v="40"/>
    <x v="322"/>
    <x v="0"/>
  </r>
  <r>
    <x v="0"/>
    <x v="36"/>
    <x v="36"/>
    <x v="10"/>
    <x v="10"/>
    <x v="10"/>
    <x v="11"/>
    <x v="75"/>
    <x v="56"/>
    <x v="96"/>
    <x v="412"/>
    <x v="45"/>
    <x v="321"/>
    <x v="0"/>
  </r>
  <r>
    <x v="0"/>
    <x v="36"/>
    <x v="36"/>
    <x v="8"/>
    <x v="8"/>
    <x v="8"/>
    <x v="11"/>
    <x v="75"/>
    <x v="56"/>
    <x v="50"/>
    <x v="416"/>
    <x v="48"/>
    <x v="323"/>
    <x v="0"/>
  </r>
  <r>
    <x v="0"/>
    <x v="36"/>
    <x v="36"/>
    <x v="14"/>
    <x v="14"/>
    <x v="14"/>
    <x v="14"/>
    <x v="76"/>
    <x v="8"/>
    <x v="77"/>
    <x v="386"/>
    <x v="54"/>
    <x v="324"/>
    <x v="0"/>
  </r>
  <r>
    <x v="0"/>
    <x v="36"/>
    <x v="36"/>
    <x v="22"/>
    <x v="22"/>
    <x v="22"/>
    <x v="14"/>
    <x v="76"/>
    <x v="8"/>
    <x v="69"/>
    <x v="415"/>
    <x v="42"/>
    <x v="42"/>
    <x v="0"/>
  </r>
  <r>
    <x v="0"/>
    <x v="36"/>
    <x v="36"/>
    <x v="18"/>
    <x v="18"/>
    <x v="18"/>
    <x v="14"/>
    <x v="76"/>
    <x v="8"/>
    <x v="79"/>
    <x v="214"/>
    <x v="51"/>
    <x v="194"/>
    <x v="0"/>
  </r>
  <r>
    <x v="0"/>
    <x v="36"/>
    <x v="36"/>
    <x v="17"/>
    <x v="17"/>
    <x v="17"/>
    <x v="17"/>
    <x v="78"/>
    <x v="186"/>
    <x v="76"/>
    <x v="417"/>
    <x v="59"/>
    <x v="325"/>
    <x v="0"/>
  </r>
  <r>
    <x v="0"/>
    <x v="36"/>
    <x v="36"/>
    <x v="21"/>
    <x v="21"/>
    <x v="21"/>
    <x v="17"/>
    <x v="78"/>
    <x v="186"/>
    <x v="80"/>
    <x v="418"/>
    <x v="45"/>
    <x v="321"/>
    <x v="0"/>
  </r>
  <r>
    <x v="0"/>
    <x v="36"/>
    <x v="36"/>
    <x v="13"/>
    <x v="13"/>
    <x v="13"/>
    <x v="17"/>
    <x v="78"/>
    <x v="186"/>
    <x v="59"/>
    <x v="14"/>
    <x v="53"/>
    <x v="291"/>
    <x v="0"/>
  </r>
  <r>
    <x v="0"/>
    <x v="37"/>
    <x v="37"/>
    <x v="0"/>
    <x v="0"/>
    <x v="0"/>
    <x v="0"/>
    <x v="202"/>
    <x v="285"/>
    <x v="180"/>
    <x v="419"/>
    <x v="42"/>
    <x v="42"/>
    <x v="0"/>
  </r>
  <r>
    <x v="0"/>
    <x v="37"/>
    <x v="37"/>
    <x v="2"/>
    <x v="2"/>
    <x v="2"/>
    <x v="1"/>
    <x v="63"/>
    <x v="286"/>
    <x v="63"/>
    <x v="420"/>
    <x v="42"/>
    <x v="42"/>
    <x v="0"/>
  </r>
  <r>
    <x v="0"/>
    <x v="37"/>
    <x v="37"/>
    <x v="5"/>
    <x v="5"/>
    <x v="5"/>
    <x v="2"/>
    <x v="74"/>
    <x v="226"/>
    <x v="74"/>
    <x v="421"/>
    <x v="44"/>
    <x v="76"/>
    <x v="0"/>
  </r>
  <r>
    <x v="0"/>
    <x v="37"/>
    <x v="37"/>
    <x v="10"/>
    <x v="10"/>
    <x v="10"/>
    <x v="3"/>
    <x v="66"/>
    <x v="287"/>
    <x v="78"/>
    <x v="64"/>
    <x v="45"/>
    <x v="253"/>
    <x v="0"/>
  </r>
  <r>
    <x v="0"/>
    <x v="37"/>
    <x v="37"/>
    <x v="7"/>
    <x v="7"/>
    <x v="7"/>
    <x v="4"/>
    <x v="75"/>
    <x v="222"/>
    <x v="77"/>
    <x v="422"/>
    <x v="23"/>
    <x v="326"/>
    <x v="0"/>
  </r>
  <r>
    <x v="0"/>
    <x v="37"/>
    <x v="37"/>
    <x v="4"/>
    <x v="4"/>
    <x v="4"/>
    <x v="4"/>
    <x v="75"/>
    <x v="222"/>
    <x v="135"/>
    <x v="243"/>
    <x v="42"/>
    <x v="42"/>
    <x v="0"/>
  </r>
  <r>
    <x v="0"/>
    <x v="37"/>
    <x v="37"/>
    <x v="8"/>
    <x v="8"/>
    <x v="8"/>
    <x v="6"/>
    <x v="76"/>
    <x v="288"/>
    <x v="67"/>
    <x v="190"/>
    <x v="67"/>
    <x v="327"/>
    <x v="0"/>
  </r>
  <r>
    <x v="0"/>
    <x v="37"/>
    <x v="37"/>
    <x v="12"/>
    <x v="12"/>
    <x v="12"/>
    <x v="6"/>
    <x v="76"/>
    <x v="288"/>
    <x v="78"/>
    <x v="64"/>
    <x v="58"/>
    <x v="328"/>
    <x v="0"/>
  </r>
  <r>
    <x v="0"/>
    <x v="37"/>
    <x v="37"/>
    <x v="33"/>
    <x v="33"/>
    <x v="33"/>
    <x v="8"/>
    <x v="77"/>
    <x v="167"/>
    <x v="50"/>
    <x v="93"/>
    <x v="59"/>
    <x v="329"/>
    <x v="0"/>
  </r>
  <r>
    <x v="0"/>
    <x v="37"/>
    <x v="37"/>
    <x v="18"/>
    <x v="18"/>
    <x v="18"/>
    <x v="9"/>
    <x v="224"/>
    <x v="174"/>
    <x v="96"/>
    <x v="423"/>
    <x v="44"/>
    <x v="76"/>
    <x v="0"/>
  </r>
  <r>
    <x v="0"/>
    <x v="37"/>
    <x v="37"/>
    <x v="11"/>
    <x v="11"/>
    <x v="11"/>
    <x v="10"/>
    <x v="230"/>
    <x v="253"/>
    <x v="66"/>
    <x v="32"/>
    <x v="44"/>
    <x v="76"/>
    <x v="0"/>
  </r>
  <r>
    <x v="0"/>
    <x v="37"/>
    <x v="37"/>
    <x v="14"/>
    <x v="14"/>
    <x v="14"/>
    <x v="11"/>
    <x v="237"/>
    <x v="154"/>
    <x v="49"/>
    <x v="352"/>
    <x v="45"/>
    <x v="253"/>
    <x v="0"/>
  </r>
  <r>
    <x v="0"/>
    <x v="37"/>
    <x v="37"/>
    <x v="23"/>
    <x v="23"/>
    <x v="23"/>
    <x v="12"/>
    <x v="233"/>
    <x v="74"/>
    <x v="80"/>
    <x v="185"/>
    <x v="60"/>
    <x v="74"/>
    <x v="0"/>
  </r>
  <r>
    <x v="0"/>
    <x v="37"/>
    <x v="37"/>
    <x v="1"/>
    <x v="1"/>
    <x v="1"/>
    <x v="12"/>
    <x v="233"/>
    <x v="74"/>
    <x v="77"/>
    <x v="422"/>
    <x v="59"/>
    <x v="329"/>
    <x v="0"/>
  </r>
  <r>
    <x v="0"/>
    <x v="37"/>
    <x v="37"/>
    <x v="28"/>
    <x v="28"/>
    <x v="28"/>
    <x v="12"/>
    <x v="233"/>
    <x v="74"/>
    <x v="49"/>
    <x v="352"/>
    <x v="55"/>
    <x v="80"/>
    <x v="0"/>
  </r>
  <r>
    <x v="0"/>
    <x v="37"/>
    <x v="37"/>
    <x v="6"/>
    <x v="6"/>
    <x v="6"/>
    <x v="12"/>
    <x v="233"/>
    <x v="74"/>
    <x v="80"/>
    <x v="185"/>
    <x v="60"/>
    <x v="74"/>
    <x v="0"/>
  </r>
  <r>
    <x v="0"/>
    <x v="37"/>
    <x v="37"/>
    <x v="22"/>
    <x v="22"/>
    <x v="22"/>
    <x v="16"/>
    <x v="234"/>
    <x v="164"/>
    <x v="76"/>
    <x v="237"/>
    <x v="60"/>
    <x v="74"/>
    <x v="1"/>
  </r>
  <r>
    <x v="0"/>
    <x v="37"/>
    <x v="37"/>
    <x v="48"/>
    <x v="48"/>
    <x v="48"/>
    <x v="17"/>
    <x v="235"/>
    <x v="88"/>
    <x v="68"/>
    <x v="107"/>
    <x v="51"/>
    <x v="29"/>
    <x v="0"/>
  </r>
  <r>
    <x v="0"/>
    <x v="37"/>
    <x v="37"/>
    <x v="21"/>
    <x v="21"/>
    <x v="21"/>
    <x v="17"/>
    <x v="235"/>
    <x v="88"/>
    <x v="59"/>
    <x v="414"/>
    <x v="55"/>
    <x v="80"/>
    <x v="0"/>
  </r>
  <r>
    <x v="0"/>
    <x v="37"/>
    <x v="37"/>
    <x v="69"/>
    <x v="69"/>
    <x v="69"/>
    <x v="17"/>
    <x v="235"/>
    <x v="88"/>
    <x v="49"/>
    <x v="352"/>
    <x v="58"/>
    <x v="328"/>
    <x v="0"/>
  </r>
  <r>
    <x v="0"/>
    <x v="37"/>
    <x v="37"/>
    <x v="62"/>
    <x v="62"/>
    <x v="62"/>
    <x v="17"/>
    <x v="235"/>
    <x v="88"/>
    <x v="47"/>
    <x v="389"/>
    <x v="44"/>
    <x v="76"/>
    <x v="0"/>
  </r>
  <r>
    <x v="0"/>
    <x v="37"/>
    <x v="37"/>
    <x v="19"/>
    <x v="19"/>
    <x v="19"/>
    <x v="17"/>
    <x v="235"/>
    <x v="88"/>
    <x v="49"/>
    <x v="352"/>
    <x v="58"/>
    <x v="328"/>
    <x v="0"/>
  </r>
  <r>
    <x v="0"/>
    <x v="37"/>
    <x v="37"/>
    <x v="3"/>
    <x v="3"/>
    <x v="3"/>
    <x v="17"/>
    <x v="235"/>
    <x v="88"/>
    <x v="50"/>
    <x v="93"/>
    <x v="42"/>
    <x v="42"/>
    <x v="0"/>
  </r>
  <r>
    <x v="0"/>
    <x v="38"/>
    <x v="38"/>
    <x v="0"/>
    <x v="0"/>
    <x v="0"/>
    <x v="0"/>
    <x v="63"/>
    <x v="289"/>
    <x v="52"/>
    <x v="424"/>
    <x v="44"/>
    <x v="190"/>
    <x v="0"/>
  </r>
  <r>
    <x v="0"/>
    <x v="38"/>
    <x v="38"/>
    <x v="4"/>
    <x v="4"/>
    <x v="4"/>
    <x v="1"/>
    <x v="65"/>
    <x v="290"/>
    <x v="74"/>
    <x v="425"/>
    <x v="42"/>
    <x v="42"/>
    <x v="0"/>
  </r>
  <r>
    <x v="0"/>
    <x v="38"/>
    <x v="38"/>
    <x v="7"/>
    <x v="7"/>
    <x v="7"/>
    <x v="2"/>
    <x v="75"/>
    <x v="291"/>
    <x v="77"/>
    <x v="426"/>
    <x v="23"/>
    <x v="330"/>
    <x v="0"/>
  </r>
  <r>
    <x v="0"/>
    <x v="38"/>
    <x v="38"/>
    <x v="10"/>
    <x v="10"/>
    <x v="10"/>
    <x v="3"/>
    <x v="230"/>
    <x v="38"/>
    <x v="80"/>
    <x v="427"/>
    <x v="58"/>
    <x v="233"/>
    <x v="0"/>
  </r>
  <r>
    <x v="0"/>
    <x v="38"/>
    <x v="38"/>
    <x v="5"/>
    <x v="5"/>
    <x v="5"/>
    <x v="3"/>
    <x v="230"/>
    <x v="38"/>
    <x v="50"/>
    <x v="408"/>
    <x v="46"/>
    <x v="206"/>
    <x v="0"/>
  </r>
  <r>
    <x v="0"/>
    <x v="38"/>
    <x v="38"/>
    <x v="14"/>
    <x v="14"/>
    <x v="14"/>
    <x v="5"/>
    <x v="237"/>
    <x v="207"/>
    <x v="49"/>
    <x v="428"/>
    <x v="45"/>
    <x v="214"/>
    <x v="0"/>
  </r>
  <r>
    <x v="0"/>
    <x v="38"/>
    <x v="38"/>
    <x v="18"/>
    <x v="18"/>
    <x v="18"/>
    <x v="5"/>
    <x v="237"/>
    <x v="207"/>
    <x v="80"/>
    <x v="427"/>
    <x v="44"/>
    <x v="190"/>
    <x v="0"/>
  </r>
  <r>
    <x v="0"/>
    <x v="38"/>
    <x v="38"/>
    <x v="11"/>
    <x v="11"/>
    <x v="11"/>
    <x v="7"/>
    <x v="233"/>
    <x v="277"/>
    <x v="47"/>
    <x v="264"/>
    <x v="58"/>
    <x v="233"/>
    <x v="0"/>
  </r>
  <r>
    <x v="0"/>
    <x v="38"/>
    <x v="38"/>
    <x v="51"/>
    <x v="51"/>
    <x v="51"/>
    <x v="7"/>
    <x v="233"/>
    <x v="277"/>
    <x v="67"/>
    <x v="318"/>
    <x v="45"/>
    <x v="214"/>
    <x v="0"/>
  </r>
  <r>
    <x v="0"/>
    <x v="38"/>
    <x v="38"/>
    <x v="27"/>
    <x v="27"/>
    <x v="27"/>
    <x v="9"/>
    <x v="235"/>
    <x v="175"/>
    <x v="47"/>
    <x v="264"/>
    <x v="44"/>
    <x v="190"/>
    <x v="0"/>
  </r>
  <r>
    <x v="0"/>
    <x v="38"/>
    <x v="38"/>
    <x v="1"/>
    <x v="1"/>
    <x v="1"/>
    <x v="9"/>
    <x v="235"/>
    <x v="175"/>
    <x v="59"/>
    <x v="192"/>
    <x v="55"/>
    <x v="290"/>
    <x v="0"/>
  </r>
  <r>
    <x v="0"/>
    <x v="38"/>
    <x v="38"/>
    <x v="15"/>
    <x v="15"/>
    <x v="15"/>
    <x v="9"/>
    <x v="235"/>
    <x v="175"/>
    <x v="49"/>
    <x v="428"/>
    <x v="51"/>
    <x v="210"/>
    <x v="0"/>
  </r>
  <r>
    <x v="0"/>
    <x v="38"/>
    <x v="38"/>
    <x v="21"/>
    <x v="21"/>
    <x v="21"/>
    <x v="12"/>
    <x v="239"/>
    <x v="192"/>
    <x v="67"/>
    <x v="318"/>
    <x v="58"/>
    <x v="233"/>
    <x v="0"/>
  </r>
  <r>
    <x v="0"/>
    <x v="38"/>
    <x v="38"/>
    <x v="6"/>
    <x v="6"/>
    <x v="6"/>
    <x v="12"/>
    <x v="239"/>
    <x v="192"/>
    <x v="76"/>
    <x v="218"/>
    <x v="42"/>
    <x v="42"/>
    <x v="0"/>
  </r>
  <r>
    <x v="0"/>
    <x v="38"/>
    <x v="38"/>
    <x v="17"/>
    <x v="17"/>
    <x v="17"/>
    <x v="14"/>
    <x v="240"/>
    <x v="132"/>
    <x v="162"/>
    <x v="236"/>
    <x v="45"/>
    <x v="214"/>
    <x v="0"/>
  </r>
  <r>
    <x v="0"/>
    <x v="38"/>
    <x v="38"/>
    <x v="8"/>
    <x v="8"/>
    <x v="8"/>
    <x v="14"/>
    <x v="240"/>
    <x v="132"/>
    <x v="77"/>
    <x v="426"/>
    <x v="46"/>
    <x v="206"/>
    <x v="0"/>
  </r>
  <r>
    <x v="0"/>
    <x v="38"/>
    <x v="38"/>
    <x v="67"/>
    <x v="67"/>
    <x v="67"/>
    <x v="16"/>
    <x v="241"/>
    <x v="33"/>
    <x v="162"/>
    <x v="236"/>
    <x v="55"/>
    <x v="290"/>
    <x v="0"/>
  </r>
  <r>
    <x v="0"/>
    <x v="38"/>
    <x v="38"/>
    <x v="70"/>
    <x v="70"/>
    <x v="70"/>
    <x v="16"/>
    <x v="241"/>
    <x v="33"/>
    <x v="162"/>
    <x v="236"/>
    <x v="55"/>
    <x v="290"/>
    <x v="0"/>
  </r>
  <r>
    <x v="0"/>
    <x v="38"/>
    <x v="38"/>
    <x v="54"/>
    <x v="54"/>
    <x v="54"/>
    <x v="16"/>
    <x v="241"/>
    <x v="33"/>
    <x v="59"/>
    <x v="192"/>
    <x v="51"/>
    <x v="210"/>
    <x v="0"/>
  </r>
  <r>
    <x v="0"/>
    <x v="38"/>
    <x v="38"/>
    <x v="71"/>
    <x v="71"/>
    <x v="71"/>
    <x v="16"/>
    <x v="241"/>
    <x v="33"/>
    <x v="140"/>
    <x v="147"/>
    <x v="46"/>
    <x v="206"/>
    <x v="0"/>
  </r>
  <r>
    <x v="0"/>
    <x v="38"/>
    <x v="38"/>
    <x v="2"/>
    <x v="2"/>
    <x v="2"/>
    <x v="16"/>
    <x v="241"/>
    <x v="33"/>
    <x v="68"/>
    <x v="429"/>
    <x v="42"/>
    <x v="42"/>
    <x v="0"/>
  </r>
  <r>
    <x v="0"/>
    <x v="38"/>
    <x v="38"/>
    <x v="45"/>
    <x v="45"/>
    <x v="45"/>
    <x v="16"/>
    <x v="241"/>
    <x v="33"/>
    <x v="59"/>
    <x v="192"/>
    <x v="51"/>
    <x v="210"/>
    <x v="0"/>
  </r>
  <r>
    <x v="0"/>
    <x v="39"/>
    <x v="39"/>
    <x v="0"/>
    <x v="0"/>
    <x v="0"/>
    <x v="0"/>
    <x v="107"/>
    <x v="292"/>
    <x v="44"/>
    <x v="430"/>
    <x v="44"/>
    <x v="9"/>
    <x v="0"/>
  </r>
  <r>
    <x v="0"/>
    <x v="39"/>
    <x v="39"/>
    <x v="7"/>
    <x v="7"/>
    <x v="7"/>
    <x v="1"/>
    <x v="201"/>
    <x v="293"/>
    <x v="50"/>
    <x v="163"/>
    <x v="94"/>
    <x v="331"/>
    <x v="0"/>
  </r>
  <r>
    <x v="0"/>
    <x v="39"/>
    <x v="39"/>
    <x v="4"/>
    <x v="4"/>
    <x v="4"/>
    <x v="2"/>
    <x v="72"/>
    <x v="213"/>
    <x v="103"/>
    <x v="419"/>
    <x v="42"/>
    <x v="42"/>
    <x v="0"/>
  </r>
  <r>
    <x v="0"/>
    <x v="39"/>
    <x v="39"/>
    <x v="18"/>
    <x v="18"/>
    <x v="18"/>
    <x v="3"/>
    <x v="67"/>
    <x v="242"/>
    <x v="53"/>
    <x v="6"/>
    <x v="51"/>
    <x v="242"/>
    <x v="0"/>
  </r>
  <r>
    <x v="0"/>
    <x v="39"/>
    <x v="39"/>
    <x v="8"/>
    <x v="8"/>
    <x v="8"/>
    <x v="4"/>
    <x v="75"/>
    <x v="294"/>
    <x v="80"/>
    <x v="18"/>
    <x v="64"/>
    <x v="21"/>
    <x v="0"/>
  </r>
  <r>
    <x v="0"/>
    <x v="39"/>
    <x v="39"/>
    <x v="10"/>
    <x v="10"/>
    <x v="10"/>
    <x v="5"/>
    <x v="223"/>
    <x v="3"/>
    <x v="79"/>
    <x v="165"/>
    <x v="44"/>
    <x v="9"/>
    <x v="0"/>
  </r>
  <r>
    <x v="0"/>
    <x v="39"/>
    <x v="39"/>
    <x v="2"/>
    <x v="2"/>
    <x v="2"/>
    <x v="5"/>
    <x v="223"/>
    <x v="3"/>
    <x v="53"/>
    <x v="6"/>
    <x v="42"/>
    <x v="42"/>
    <x v="0"/>
  </r>
  <r>
    <x v="0"/>
    <x v="39"/>
    <x v="39"/>
    <x v="33"/>
    <x v="33"/>
    <x v="33"/>
    <x v="7"/>
    <x v="77"/>
    <x v="276"/>
    <x v="80"/>
    <x v="18"/>
    <x v="52"/>
    <x v="272"/>
    <x v="0"/>
  </r>
  <r>
    <x v="0"/>
    <x v="39"/>
    <x v="39"/>
    <x v="11"/>
    <x v="11"/>
    <x v="11"/>
    <x v="7"/>
    <x v="77"/>
    <x v="276"/>
    <x v="66"/>
    <x v="305"/>
    <x v="55"/>
    <x v="175"/>
    <x v="0"/>
  </r>
  <r>
    <x v="0"/>
    <x v="39"/>
    <x v="39"/>
    <x v="6"/>
    <x v="6"/>
    <x v="6"/>
    <x v="7"/>
    <x v="77"/>
    <x v="276"/>
    <x v="73"/>
    <x v="431"/>
    <x v="42"/>
    <x v="42"/>
    <x v="0"/>
  </r>
  <r>
    <x v="0"/>
    <x v="39"/>
    <x v="39"/>
    <x v="12"/>
    <x v="12"/>
    <x v="12"/>
    <x v="10"/>
    <x v="229"/>
    <x v="253"/>
    <x v="97"/>
    <x v="329"/>
    <x v="58"/>
    <x v="332"/>
    <x v="0"/>
  </r>
  <r>
    <x v="0"/>
    <x v="39"/>
    <x v="39"/>
    <x v="5"/>
    <x v="5"/>
    <x v="5"/>
    <x v="11"/>
    <x v="230"/>
    <x v="56"/>
    <x v="55"/>
    <x v="214"/>
    <x v="60"/>
    <x v="333"/>
    <x v="0"/>
  </r>
  <r>
    <x v="0"/>
    <x v="39"/>
    <x v="39"/>
    <x v="51"/>
    <x v="51"/>
    <x v="51"/>
    <x v="12"/>
    <x v="236"/>
    <x v="169"/>
    <x v="47"/>
    <x v="263"/>
    <x v="55"/>
    <x v="175"/>
    <x v="0"/>
  </r>
  <r>
    <x v="0"/>
    <x v="39"/>
    <x v="39"/>
    <x v="14"/>
    <x v="14"/>
    <x v="14"/>
    <x v="13"/>
    <x v="237"/>
    <x v="28"/>
    <x v="59"/>
    <x v="67"/>
    <x v="59"/>
    <x v="334"/>
    <x v="0"/>
  </r>
  <r>
    <x v="0"/>
    <x v="39"/>
    <x v="39"/>
    <x v="72"/>
    <x v="72"/>
    <x v="72"/>
    <x v="13"/>
    <x v="237"/>
    <x v="28"/>
    <x v="162"/>
    <x v="236"/>
    <x v="42"/>
    <x v="42"/>
    <x v="0"/>
  </r>
  <r>
    <x v="0"/>
    <x v="39"/>
    <x v="39"/>
    <x v="27"/>
    <x v="27"/>
    <x v="27"/>
    <x v="15"/>
    <x v="233"/>
    <x v="12"/>
    <x v="80"/>
    <x v="18"/>
    <x v="60"/>
    <x v="333"/>
    <x v="0"/>
  </r>
  <r>
    <x v="0"/>
    <x v="39"/>
    <x v="39"/>
    <x v="1"/>
    <x v="1"/>
    <x v="1"/>
    <x v="15"/>
    <x v="233"/>
    <x v="12"/>
    <x v="67"/>
    <x v="283"/>
    <x v="45"/>
    <x v="160"/>
    <x v="0"/>
  </r>
  <r>
    <x v="0"/>
    <x v="39"/>
    <x v="39"/>
    <x v="28"/>
    <x v="28"/>
    <x v="28"/>
    <x v="15"/>
    <x v="233"/>
    <x v="12"/>
    <x v="47"/>
    <x v="263"/>
    <x v="58"/>
    <x v="332"/>
    <x v="0"/>
  </r>
  <r>
    <x v="0"/>
    <x v="39"/>
    <x v="39"/>
    <x v="50"/>
    <x v="50"/>
    <x v="50"/>
    <x v="15"/>
    <x v="233"/>
    <x v="12"/>
    <x v="162"/>
    <x v="236"/>
    <x v="64"/>
    <x v="21"/>
    <x v="0"/>
  </r>
  <r>
    <x v="0"/>
    <x v="39"/>
    <x v="39"/>
    <x v="54"/>
    <x v="54"/>
    <x v="54"/>
    <x v="19"/>
    <x v="234"/>
    <x v="14"/>
    <x v="76"/>
    <x v="35"/>
    <x v="44"/>
    <x v="9"/>
    <x v="0"/>
  </r>
  <r>
    <x v="0"/>
    <x v="39"/>
    <x v="39"/>
    <x v="3"/>
    <x v="3"/>
    <x v="3"/>
    <x v="19"/>
    <x v="234"/>
    <x v="14"/>
    <x v="80"/>
    <x v="18"/>
    <x v="42"/>
    <x v="42"/>
    <x v="0"/>
  </r>
  <r>
    <x v="0"/>
    <x v="39"/>
    <x v="39"/>
    <x v="29"/>
    <x v="29"/>
    <x v="29"/>
    <x v="19"/>
    <x v="234"/>
    <x v="14"/>
    <x v="50"/>
    <x v="163"/>
    <x v="60"/>
    <x v="333"/>
    <x v="0"/>
  </r>
  <r>
    <x v="0"/>
    <x v="40"/>
    <x v="40"/>
    <x v="0"/>
    <x v="0"/>
    <x v="0"/>
    <x v="0"/>
    <x v="70"/>
    <x v="166"/>
    <x v="39"/>
    <x v="432"/>
    <x v="58"/>
    <x v="132"/>
    <x v="0"/>
  </r>
  <r>
    <x v="0"/>
    <x v="40"/>
    <x v="40"/>
    <x v="4"/>
    <x v="4"/>
    <x v="4"/>
    <x v="1"/>
    <x v="71"/>
    <x v="295"/>
    <x v="72"/>
    <x v="433"/>
    <x v="44"/>
    <x v="164"/>
    <x v="0"/>
  </r>
  <r>
    <x v="0"/>
    <x v="40"/>
    <x v="40"/>
    <x v="7"/>
    <x v="7"/>
    <x v="7"/>
    <x v="2"/>
    <x v="109"/>
    <x v="296"/>
    <x v="76"/>
    <x v="434"/>
    <x v="85"/>
    <x v="335"/>
    <x v="0"/>
  </r>
  <r>
    <x v="0"/>
    <x v="40"/>
    <x v="40"/>
    <x v="8"/>
    <x v="8"/>
    <x v="8"/>
    <x v="3"/>
    <x v="52"/>
    <x v="297"/>
    <x v="66"/>
    <x v="359"/>
    <x v="94"/>
    <x v="336"/>
    <x v="0"/>
  </r>
  <r>
    <x v="0"/>
    <x v="40"/>
    <x v="40"/>
    <x v="10"/>
    <x v="10"/>
    <x v="10"/>
    <x v="4"/>
    <x v="62"/>
    <x v="261"/>
    <x v="56"/>
    <x v="223"/>
    <x v="57"/>
    <x v="328"/>
    <x v="0"/>
  </r>
  <r>
    <x v="0"/>
    <x v="40"/>
    <x v="40"/>
    <x v="12"/>
    <x v="12"/>
    <x v="12"/>
    <x v="5"/>
    <x v="201"/>
    <x v="298"/>
    <x v="56"/>
    <x v="223"/>
    <x v="59"/>
    <x v="235"/>
    <x v="0"/>
  </r>
  <r>
    <x v="0"/>
    <x v="40"/>
    <x v="40"/>
    <x v="1"/>
    <x v="1"/>
    <x v="1"/>
    <x v="5"/>
    <x v="201"/>
    <x v="298"/>
    <x v="78"/>
    <x v="266"/>
    <x v="54"/>
    <x v="156"/>
    <x v="0"/>
  </r>
  <r>
    <x v="0"/>
    <x v="40"/>
    <x v="40"/>
    <x v="3"/>
    <x v="3"/>
    <x v="3"/>
    <x v="7"/>
    <x v="53"/>
    <x v="200"/>
    <x v="64"/>
    <x v="435"/>
    <x v="42"/>
    <x v="42"/>
    <x v="0"/>
  </r>
  <r>
    <x v="0"/>
    <x v="40"/>
    <x v="40"/>
    <x v="33"/>
    <x v="33"/>
    <x v="33"/>
    <x v="8"/>
    <x v="202"/>
    <x v="277"/>
    <x v="73"/>
    <x v="412"/>
    <x v="76"/>
    <x v="337"/>
    <x v="0"/>
  </r>
  <r>
    <x v="0"/>
    <x v="40"/>
    <x v="40"/>
    <x v="5"/>
    <x v="5"/>
    <x v="5"/>
    <x v="8"/>
    <x v="202"/>
    <x v="277"/>
    <x v="65"/>
    <x v="436"/>
    <x v="44"/>
    <x v="164"/>
    <x v="0"/>
  </r>
  <r>
    <x v="0"/>
    <x v="40"/>
    <x v="40"/>
    <x v="2"/>
    <x v="2"/>
    <x v="2"/>
    <x v="10"/>
    <x v="55"/>
    <x v="100"/>
    <x v="65"/>
    <x v="436"/>
    <x v="42"/>
    <x v="42"/>
    <x v="0"/>
  </r>
  <r>
    <x v="0"/>
    <x v="40"/>
    <x v="40"/>
    <x v="18"/>
    <x v="18"/>
    <x v="18"/>
    <x v="11"/>
    <x v="74"/>
    <x v="56"/>
    <x v="135"/>
    <x v="437"/>
    <x v="46"/>
    <x v="76"/>
    <x v="0"/>
  </r>
  <r>
    <x v="0"/>
    <x v="40"/>
    <x v="40"/>
    <x v="23"/>
    <x v="23"/>
    <x v="23"/>
    <x v="12"/>
    <x v="65"/>
    <x v="176"/>
    <x v="75"/>
    <x v="345"/>
    <x v="44"/>
    <x v="164"/>
    <x v="0"/>
  </r>
  <r>
    <x v="0"/>
    <x v="40"/>
    <x v="40"/>
    <x v="6"/>
    <x v="6"/>
    <x v="6"/>
    <x v="13"/>
    <x v="66"/>
    <x v="299"/>
    <x v="53"/>
    <x v="276"/>
    <x v="58"/>
    <x v="132"/>
    <x v="0"/>
  </r>
  <r>
    <x v="0"/>
    <x v="40"/>
    <x v="40"/>
    <x v="17"/>
    <x v="17"/>
    <x v="17"/>
    <x v="14"/>
    <x v="67"/>
    <x v="170"/>
    <x v="96"/>
    <x v="438"/>
    <x v="52"/>
    <x v="40"/>
    <x v="0"/>
  </r>
  <r>
    <x v="0"/>
    <x v="40"/>
    <x v="40"/>
    <x v="11"/>
    <x v="11"/>
    <x v="11"/>
    <x v="14"/>
    <x v="67"/>
    <x v="170"/>
    <x v="79"/>
    <x v="365"/>
    <x v="46"/>
    <x v="76"/>
    <x v="0"/>
  </r>
  <r>
    <x v="0"/>
    <x v="40"/>
    <x v="40"/>
    <x v="54"/>
    <x v="54"/>
    <x v="54"/>
    <x v="16"/>
    <x v="75"/>
    <x v="186"/>
    <x v="55"/>
    <x v="439"/>
    <x v="52"/>
    <x v="40"/>
    <x v="0"/>
  </r>
  <r>
    <x v="0"/>
    <x v="40"/>
    <x v="40"/>
    <x v="14"/>
    <x v="14"/>
    <x v="14"/>
    <x v="17"/>
    <x v="76"/>
    <x v="224"/>
    <x v="49"/>
    <x v="67"/>
    <x v="40"/>
    <x v="80"/>
    <x v="0"/>
  </r>
  <r>
    <x v="0"/>
    <x v="40"/>
    <x v="40"/>
    <x v="27"/>
    <x v="27"/>
    <x v="27"/>
    <x v="18"/>
    <x v="77"/>
    <x v="15"/>
    <x v="62"/>
    <x v="440"/>
    <x v="51"/>
    <x v="295"/>
    <x v="0"/>
  </r>
  <r>
    <x v="0"/>
    <x v="40"/>
    <x v="40"/>
    <x v="49"/>
    <x v="49"/>
    <x v="49"/>
    <x v="19"/>
    <x v="78"/>
    <x v="33"/>
    <x v="76"/>
    <x v="434"/>
    <x v="59"/>
    <x v="235"/>
    <x v="0"/>
  </r>
  <r>
    <x v="0"/>
    <x v="40"/>
    <x v="40"/>
    <x v="19"/>
    <x v="19"/>
    <x v="19"/>
    <x v="19"/>
    <x v="78"/>
    <x v="33"/>
    <x v="50"/>
    <x v="441"/>
    <x v="52"/>
    <x v="40"/>
    <x v="0"/>
  </r>
  <r>
    <x v="0"/>
    <x v="40"/>
    <x v="40"/>
    <x v="51"/>
    <x v="51"/>
    <x v="51"/>
    <x v="19"/>
    <x v="78"/>
    <x v="33"/>
    <x v="49"/>
    <x v="67"/>
    <x v="48"/>
    <x v="338"/>
    <x v="0"/>
  </r>
  <r>
    <x v="0"/>
    <x v="40"/>
    <x v="40"/>
    <x v="15"/>
    <x v="15"/>
    <x v="15"/>
    <x v="19"/>
    <x v="78"/>
    <x v="33"/>
    <x v="47"/>
    <x v="347"/>
    <x v="57"/>
    <x v="328"/>
    <x v="0"/>
  </r>
  <r>
    <x v="0"/>
    <x v="40"/>
    <x v="40"/>
    <x v="28"/>
    <x v="28"/>
    <x v="28"/>
    <x v="19"/>
    <x v="78"/>
    <x v="33"/>
    <x v="50"/>
    <x v="441"/>
    <x v="52"/>
    <x v="40"/>
    <x v="0"/>
  </r>
  <r>
    <x v="0"/>
    <x v="41"/>
    <x v="41"/>
    <x v="0"/>
    <x v="0"/>
    <x v="0"/>
    <x v="0"/>
    <x v="199"/>
    <x v="300"/>
    <x v="45"/>
    <x v="442"/>
    <x v="42"/>
    <x v="42"/>
    <x v="0"/>
  </r>
  <r>
    <x v="0"/>
    <x v="41"/>
    <x v="41"/>
    <x v="7"/>
    <x v="7"/>
    <x v="7"/>
    <x v="1"/>
    <x v="49"/>
    <x v="278"/>
    <x v="66"/>
    <x v="280"/>
    <x v="153"/>
    <x v="339"/>
    <x v="0"/>
  </r>
  <r>
    <x v="0"/>
    <x v="41"/>
    <x v="41"/>
    <x v="33"/>
    <x v="33"/>
    <x v="33"/>
    <x v="2"/>
    <x v="202"/>
    <x v="301"/>
    <x v="54"/>
    <x v="362"/>
    <x v="58"/>
    <x v="29"/>
    <x v="0"/>
  </r>
  <r>
    <x v="0"/>
    <x v="41"/>
    <x v="41"/>
    <x v="10"/>
    <x v="10"/>
    <x v="10"/>
    <x v="3"/>
    <x v="55"/>
    <x v="302"/>
    <x v="74"/>
    <x v="231"/>
    <x v="46"/>
    <x v="318"/>
    <x v="0"/>
  </r>
  <r>
    <x v="0"/>
    <x v="41"/>
    <x v="41"/>
    <x v="4"/>
    <x v="4"/>
    <x v="4"/>
    <x v="3"/>
    <x v="55"/>
    <x v="302"/>
    <x v="65"/>
    <x v="443"/>
    <x v="42"/>
    <x v="42"/>
    <x v="0"/>
  </r>
  <r>
    <x v="0"/>
    <x v="41"/>
    <x v="41"/>
    <x v="6"/>
    <x v="6"/>
    <x v="6"/>
    <x v="5"/>
    <x v="73"/>
    <x v="199"/>
    <x v="54"/>
    <x v="362"/>
    <x v="42"/>
    <x v="42"/>
    <x v="0"/>
  </r>
  <r>
    <x v="0"/>
    <x v="41"/>
    <x v="41"/>
    <x v="1"/>
    <x v="1"/>
    <x v="1"/>
    <x v="6"/>
    <x v="64"/>
    <x v="106"/>
    <x v="62"/>
    <x v="444"/>
    <x v="57"/>
    <x v="49"/>
    <x v="0"/>
  </r>
  <r>
    <x v="0"/>
    <x v="41"/>
    <x v="41"/>
    <x v="11"/>
    <x v="11"/>
    <x v="11"/>
    <x v="7"/>
    <x v="65"/>
    <x v="159"/>
    <x v="135"/>
    <x v="445"/>
    <x v="51"/>
    <x v="25"/>
    <x v="0"/>
  </r>
  <r>
    <x v="0"/>
    <x v="41"/>
    <x v="41"/>
    <x v="12"/>
    <x v="12"/>
    <x v="12"/>
    <x v="8"/>
    <x v="77"/>
    <x v="130"/>
    <x v="78"/>
    <x v="63"/>
    <x v="44"/>
    <x v="45"/>
    <x v="0"/>
  </r>
  <r>
    <x v="0"/>
    <x v="41"/>
    <x v="41"/>
    <x v="18"/>
    <x v="18"/>
    <x v="18"/>
    <x v="8"/>
    <x v="77"/>
    <x v="130"/>
    <x v="78"/>
    <x v="63"/>
    <x v="44"/>
    <x v="45"/>
    <x v="0"/>
  </r>
  <r>
    <x v="0"/>
    <x v="41"/>
    <x v="41"/>
    <x v="14"/>
    <x v="14"/>
    <x v="14"/>
    <x v="10"/>
    <x v="78"/>
    <x v="43"/>
    <x v="76"/>
    <x v="271"/>
    <x v="59"/>
    <x v="212"/>
    <x v="0"/>
  </r>
  <r>
    <x v="0"/>
    <x v="41"/>
    <x v="41"/>
    <x v="17"/>
    <x v="17"/>
    <x v="17"/>
    <x v="11"/>
    <x v="230"/>
    <x v="186"/>
    <x v="50"/>
    <x v="324"/>
    <x v="46"/>
    <x v="318"/>
    <x v="0"/>
  </r>
  <r>
    <x v="0"/>
    <x v="41"/>
    <x v="41"/>
    <x v="23"/>
    <x v="23"/>
    <x v="23"/>
    <x v="11"/>
    <x v="230"/>
    <x v="186"/>
    <x v="97"/>
    <x v="80"/>
    <x v="44"/>
    <x v="45"/>
    <x v="1"/>
  </r>
  <r>
    <x v="0"/>
    <x v="41"/>
    <x v="41"/>
    <x v="9"/>
    <x v="9"/>
    <x v="9"/>
    <x v="11"/>
    <x v="230"/>
    <x v="186"/>
    <x v="96"/>
    <x v="329"/>
    <x v="42"/>
    <x v="42"/>
    <x v="0"/>
  </r>
  <r>
    <x v="0"/>
    <x v="41"/>
    <x v="41"/>
    <x v="49"/>
    <x v="49"/>
    <x v="49"/>
    <x v="14"/>
    <x v="236"/>
    <x v="112"/>
    <x v="50"/>
    <x v="324"/>
    <x v="58"/>
    <x v="29"/>
    <x v="0"/>
  </r>
  <r>
    <x v="0"/>
    <x v="41"/>
    <x v="41"/>
    <x v="8"/>
    <x v="8"/>
    <x v="8"/>
    <x v="14"/>
    <x v="236"/>
    <x v="112"/>
    <x v="49"/>
    <x v="109"/>
    <x v="52"/>
    <x v="80"/>
    <x v="0"/>
  </r>
  <r>
    <x v="0"/>
    <x v="41"/>
    <x v="41"/>
    <x v="51"/>
    <x v="51"/>
    <x v="51"/>
    <x v="14"/>
    <x v="236"/>
    <x v="112"/>
    <x v="67"/>
    <x v="114"/>
    <x v="59"/>
    <x v="212"/>
    <x v="0"/>
  </r>
  <r>
    <x v="0"/>
    <x v="41"/>
    <x v="41"/>
    <x v="27"/>
    <x v="27"/>
    <x v="27"/>
    <x v="17"/>
    <x v="233"/>
    <x v="61"/>
    <x v="97"/>
    <x v="80"/>
    <x v="42"/>
    <x v="42"/>
    <x v="0"/>
  </r>
  <r>
    <x v="0"/>
    <x v="41"/>
    <x v="41"/>
    <x v="42"/>
    <x v="42"/>
    <x v="42"/>
    <x v="18"/>
    <x v="234"/>
    <x v="303"/>
    <x v="77"/>
    <x v="33"/>
    <x v="52"/>
    <x v="80"/>
    <x v="0"/>
  </r>
  <r>
    <x v="0"/>
    <x v="41"/>
    <x v="41"/>
    <x v="19"/>
    <x v="19"/>
    <x v="19"/>
    <x v="18"/>
    <x v="234"/>
    <x v="303"/>
    <x v="68"/>
    <x v="268"/>
    <x v="58"/>
    <x v="29"/>
    <x v="0"/>
  </r>
  <r>
    <x v="0"/>
    <x v="41"/>
    <x v="41"/>
    <x v="71"/>
    <x v="71"/>
    <x v="71"/>
    <x v="18"/>
    <x v="234"/>
    <x v="303"/>
    <x v="77"/>
    <x v="33"/>
    <x v="52"/>
    <x v="80"/>
    <x v="0"/>
  </r>
  <r>
    <x v="0"/>
    <x v="41"/>
    <x v="41"/>
    <x v="13"/>
    <x v="13"/>
    <x v="13"/>
    <x v="18"/>
    <x v="234"/>
    <x v="303"/>
    <x v="140"/>
    <x v="446"/>
    <x v="59"/>
    <x v="212"/>
    <x v="0"/>
  </r>
  <r>
    <x v="0"/>
    <x v="41"/>
    <x v="41"/>
    <x v="5"/>
    <x v="5"/>
    <x v="5"/>
    <x v="18"/>
    <x v="234"/>
    <x v="303"/>
    <x v="80"/>
    <x v="447"/>
    <x v="42"/>
    <x v="42"/>
    <x v="0"/>
  </r>
  <r>
    <x v="0"/>
    <x v="41"/>
    <x v="41"/>
    <x v="2"/>
    <x v="2"/>
    <x v="2"/>
    <x v="18"/>
    <x v="234"/>
    <x v="303"/>
    <x v="80"/>
    <x v="447"/>
    <x v="42"/>
    <x v="42"/>
    <x v="0"/>
  </r>
  <r>
    <x v="0"/>
    <x v="41"/>
    <x v="41"/>
    <x v="66"/>
    <x v="66"/>
    <x v="66"/>
    <x v="18"/>
    <x v="234"/>
    <x v="303"/>
    <x v="76"/>
    <x v="271"/>
    <x v="44"/>
    <x v="45"/>
    <x v="0"/>
  </r>
  <r>
    <x v="0"/>
    <x v="42"/>
    <x v="42"/>
    <x v="0"/>
    <x v="0"/>
    <x v="0"/>
    <x v="0"/>
    <x v="92"/>
    <x v="304"/>
    <x v="109"/>
    <x v="448"/>
    <x v="52"/>
    <x v="12"/>
    <x v="0"/>
  </r>
  <r>
    <x v="0"/>
    <x v="42"/>
    <x v="42"/>
    <x v="5"/>
    <x v="5"/>
    <x v="5"/>
    <x v="1"/>
    <x v="211"/>
    <x v="151"/>
    <x v="133"/>
    <x v="449"/>
    <x v="53"/>
    <x v="340"/>
    <x v="0"/>
  </r>
  <r>
    <x v="0"/>
    <x v="42"/>
    <x v="42"/>
    <x v="4"/>
    <x v="4"/>
    <x v="4"/>
    <x v="2"/>
    <x v="47"/>
    <x v="127"/>
    <x v="133"/>
    <x v="449"/>
    <x v="55"/>
    <x v="9"/>
    <x v="0"/>
  </r>
  <r>
    <x v="0"/>
    <x v="42"/>
    <x v="42"/>
    <x v="7"/>
    <x v="7"/>
    <x v="7"/>
    <x v="3"/>
    <x v="109"/>
    <x v="195"/>
    <x v="96"/>
    <x v="107"/>
    <x v="91"/>
    <x v="341"/>
    <x v="0"/>
  </r>
  <r>
    <x v="0"/>
    <x v="42"/>
    <x v="42"/>
    <x v="6"/>
    <x v="6"/>
    <x v="6"/>
    <x v="4"/>
    <x v="111"/>
    <x v="232"/>
    <x v="98"/>
    <x v="274"/>
    <x v="58"/>
    <x v="342"/>
    <x v="0"/>
  </r>
  <r>
    <x v="0"/>
    <x v="42"/>
    <x v="42"/>
    <x v="23"/>
    <x v="23"/>
    <x v="23"/>
    <x v="5"/>
    <x v="58"/>
    <x v="39"/>
    <x v="160"/>
    <x v="122"/>
    <x v="55"/>
    <x v="9"/>
    <x v="0"/>
  </r>
  <r>
    <x v="0"/>
    <x v="42"/>
    <x v="42"/>
    <x v="10"/>
    <x v="10"/>
    <x v="10"/>
    <x v="6"/>
    <x v="49"/>
    <x v="298"/>
    <x v="128"/>
    <x v="140"/>
    <x v="40"/>
    <x v="43"/>
    <x v="0"/>
  </r>
  <r>
    <x v="0"/>
    <x v="42"/>
    <x v="42"/>
    <x v="9"/>
    <x v="9"/>
    <x v="9"/>
    <x v="7"/>
    <x v="50"/>
    <x v="190"/>
    <x v="103"/>
    <x v="374"/>
    <x v="48"/>
    <x v="332"/>
    <x v="0"/>
  </r>
  <r>
    <x v="0"/>
    <x v="42"/>
    <x v="42"/>
    <x v="11"/>
    <x v="11"/>
    <x v="11"/>
    <x v="8"/>
    <x v="59"/>
    <x v="277"/>
    <x v="126"/>
    <x v="450"/>
    <x v="45"/>
    <x v="343"/>
    <x v="0"/>
  </r>
  <r>
    <x v="0"/>
    <x v="42"/>
    <x v="42"/>
    <x v="33"/>
    <x v="33"/>
    <x v="33"/>
    <x v="9"/>
    <x v="60"/>
    <x v="70"/>
    <x v="54"/>
    <x v="128"/>
    <x v="64"/>
    <x v="344"/>
    <x v="0"/>
  </r>
  <r>
    <x v="0"/>
    <x v="42"/>
    <x v="42"/>
    <x v="12"/>
    <x v="12"/>
    <x v="12"/>
    <x v="10"/>
    <x v="52"/>
    <x v="25"/>
    <x v="128"/>
    <x v="140"/>
    <x v="45"/>
    <x v="343"/>
    <x v="0"/>
  </r>
  <r>
    <x v="0"/>
    <x v="42"/>
    <x v="42"/>
    <x v="1"/>
    <x v="1"/>
    <x v="1"/>
    <x v="10"/>
    <x v="52"/>
    <x v="25"/>
    <x v="66"/>
    <x v="247"/>
    <x v="94"/>
    <x v="211"/>
    <x v="0"/>
  </r>
  <r>
    <x v="0"/>
    <x v="42"/>
    <x v="42"/>
    <x v="14"/>
    <x v="14"/>
    <x v="14"/>
    <x v="12"/>
    <x v="53"/>
    <x v="162"/>
    <x v="80"/>
    <x v="451"/>
    <x v="63"/>
    <x v="158"/>
    <x v="0"/>
  </r>
  <r>
    <x v="0"/>
    <x v="42"/>
    <x v="42"/>
    <x v="17"/>
    <x v="17"/>
    <x v="17"/>
    <x v="12"/>
    <x v="53"/>
    <x v="162"/>
    <x v="62"/>
    <x v="452"/>
    <x v="54"/>
    <x v="78"/>
    <x v="0"/>
  </r>
  <r>
    <x v="0"/>
    <x v="42"/>
    <x v="42"/>
    <x v="8"/>
    <x v="8"/>
    <x v="8"/>
    <x v="12"/>
    <x v="53"/>
    <x v="162"/>
    <x v="55"/>
    <x v="328"/>
    <x v="90"/>
    <x v="172"/>
    <x v="0"/>
  </r>
  <r>
    <x v="0"/>
    <x v="42"/>
    <x v="42"/>
    <x v="2"/>
    <x v="2"/>
    <x v="2"/>
    <x v="15"/>
    <x v="72"/>
    <x v="184"/>
    <x v="65"/>
    <x v="453"/>
    <x v="51"/>
    <x v="333"/>
    <x v="0"/>
  </r>
  <r>
    <x v="0"/>
    <x v="42"/>
    <x v="42"/>
    <x v="21"/>
    <x v="21"/>
    <x v="21"/>
    <x v="16"/>
    <x v="202"/>
    <x v="163"/>
    <x v="78"/>
    <x v="324"/>
    <x v="40"/>
    <x v="43"/>
    <x v="0"/>
  </r>
  <r>
    <x v="0"/>
    <x v="42"/>
    <x v="42"/>
    <x v="3"/>
    <x v="3"/>
    <x v="3"/>
    <x v="17"/>
    <x v="54"/>
    <x v="73"/>
    <x v="65"/>
    <x v="453"/>
    <x v="60"/>
    <x v="114"/>
    <x v="0"/>
  </r>
  <r>
    <x v="0"/>
    <x v="42"/>
    <x v="42"/>
    <x v="73"/>
    <x v="73"/>
    <x v="73"/>
    <x v="18"/>
    <x v="74"/>
    <x v="155"/>
    <x v="52"/>
    <x v="332"/>
    <x v="42"/>
    <x v="42"/>
    <x v="0"/>
  </r>
  <r>
    <x v="0"/>
    <x v="42"/>
    <x v="42"/>
    <x v="15"/>
    <x v="15"/>
    <x v="15"/>
    <x v="19"/>
    <x v="64"/>
    <x v="140"/>
    <x v="80"/>
    <x v="451"/>
    <x v="40"/>
    <x v="43"/>
    <x v="0"/>
  </r>
  <r>
    <x v="0"/>
    <x v="42"/>
    <x v="42"/>
    <x v="18"/>
    <x v="18"/>
    <x v="18"/>
    <x v="19"/>
    <x v="64"/>
    <x v="140"/>
    <x v="135"/>
    <x v="93"/>
    <x v="58"/>
    <x v="342"/>
    <x v="0"/>
  </r>
  <r>
    <x v="0"/>
    <x v="43"/>
    <x v="43"/>
    <x v="0"/>
    <x v="0"/>
    <x v="0"/>
    <x v="0"/>
    <x v="111"/>
    <x v="291"/>
    <x v="48"/>
    <x v="454"/>
    <x v="45"/>
    <x v="167"/>
    <x v="0"/>
  </r>
  <r>
    <x v="0"/>
    <x v="43"/>
    <x v="43"/>
    <x v="10"/>
    <x v="10"/>
    <x v="10"/>
    <x v="1"/>
    <x v="49"/>
    <x v="286"/>
    <x v="128"/>
    <x v="167"/>
    <x v="40"/>
    <x v="195"/>
    <x v="0"/>
  </r>
  <r>
    <x v="0"/>
    <x v="43"/>
    <x v="43"/>
    <x v="49"/>
    <x v="49"/>
    <x v="49"/>
    <x v="2"/>
    <x v="202"/>
    <x v="19"/>
    <x v="66"/>
    <x v="144"/>
    <x v="23"/>
    <x v="345"/>
    <x v="0"/>
  </r>
  <r>
    <x v="0"/>
    <x v="43"/>
    <x v="43"/>
    <x v="18"/>
    <x v="18"/>
    <x v="18"/>
    <x v="2"/>
    <x v="202"/>
    <x v="19"/>
    <x v="56"/>
    <x v="404"/>
    <x v="55"/>
    <x v="70"/>
    <x v="0"/>
  </r>
  <r>
    <x v="0"/>
    <x v="43"/>
    <x v="43"/>
    <x v="17"/>
    <x v="17"/>
    <x v="17"/>
    <x v="4"/>
    <x v="63"/>
    <x v="152"/>
    <x v="49"/>
    <x v="300"/>
    <x v="63"/>
    <x v="346"/>
    <x v="0"/>
  </r>
  <r>
    <x v="0"/>
    <x v="43"/>
    <x v="43"/>
    <x v="7"/>
    <x v="7"/>
    <x v="7"/>
    <x v="5"/>
    <x v="74"/>
    <x v="107"/>
    <x v="68"/>
    <x v="397"/>
    <x v="90"/>
    <x v="347"/>
    <x v="0"/>
  </r>
  <r>
    <x v="0"/>
    <x v="43"/>
    <x v="43"/>
    <x v="48"/>
    <x v="48"/>
    <x v="48"/>
    <x v="6"/>
    <x v="64"/>
    <x v="6"/>
    <x v="97"/>
    <x v="51"/>
    <x v="53"/>
    <x v="348"/>
    <x v="0"/>
  </r>
  <r>
    <x v="0"/>
    <x v="43"/>
    <x v="43"/>
    <x v="5"/>
    <x v="5"/>
    <x v="5"/>
    <x v="6"/>
    <x v="64"/>
    <x v="6"/>
    <x v="75"/>
    <x v="262"/>
    <x v="51"/>
    <x v="24"/>
    <x v="0"/>
  </r>
  <r>
    <x v="0"/>
    <x v="43"/>
    <x v="43"/>
    <x v="33"/>
    <x v="33"/>
    <x v="33"/>
    <x v="8"/>
    <x v="65"/>
    <x v="53"/>
    <x v="97"/>
    <x v="51"/>
    <x v="76"/>
    <x v="349"/>
    <x v="0"/>
  </r>
  <r>
    <x v="0"/>
    <x v="43"/>
    <x v="43"/>
    <x v="4"/>
    <x v="4"/>
    <x v="4"/>
    <x v="8"/>
    <x v="65"/>
    <x v="53"/>
    <x v="147"/>
    <x v="59"/>
    <x v="60"/>
    <x v="23"/>
    <x v="0"/>
  </r>
  <r>
    <x v="0"/>
    <x v="43"/>
    <x v="43"/>
    <x v="9"/>
    <x v="9"/>
    <x v="9"/>
    <x v="8"/>
    <x v="65"/>
    <x v="53"/>
    <x v="69"/>
    <x v="342"/>
    <x v="58"/>
    <x v="350"/>
    <x v="0"/>
  </r>
  <r>
    <x v="0"/>
    <x v="43"/>
    <x v="43"/>
    <x v="14"/>
    <x v="14"/>
    <x v="14"/>
    <x v="11"/>
    <x v="66"/>
    <x v="201"/>
    <x v="77"/>
    <x v="197"/>
    <x v="65"/>
    <x v="351"/>
    <x v="0"/>
  </r>
  <r>
    <x v="0"/>
    <x v="43"/>
    <x v="43"/>
    <x v="1"/>
    <x v="1"/>
    <x v="1"/>
    <x v="11"/>
    <x v="66"/>
    <x v="201"/>
    <x v="140"/>
    <x v="164"/>
    <x v="43"/>
    <x v="352"/>
    <x v="0"/>
  </r>
  <r>
    <x v="0"/>
    <x v="43"/>
    <x v="43"/>
    <x v="74"/>
    <x v="74"/>
    <x v="74"/>
    <x v="13"/>
    <x v="75"/>
    <x v="56"/>
    <x v="68"/>
    <x v="397"/>
    <x v="40"/>
    <x v="195"/>
    <x v="0"/>
  </r>
  <r>
    <x v="0"/>
    <x v="43"/>
    <x v="43"/>
    <x v="2"/>
    <x v="2"/>
    <x v="2"/>
    <x v="14"/>
    <x v="223"/>
    <x v="163"/>
    <x v="53"/>
    <x v="455"/>
    <x v="42"/>
    <x v="42"/>
    <x v="0"/>
  </r>
  <r>
    <x v="0"/>
    <x v="43"/>
    <x v="43"/>
    <x v="12"/>
    <x v="12"/>
    <x v="12"/>
    <x v="15"/>
    <x v="77"/>
    <x v="28"/>
    <x v="96"/>
    <x v="453"/>
    <x v="58"/>
    <x v="350"/>
    <x v="0"/>
  </r>
  <r>
    <x v="0"/>
    <x v="43"/>
    <x v="43"/>
    <x v="28"/>
    <x v="28"/>
    <x v="28"/>
    <x v="15"/>
    <x v="77"/>
    <x v="28"/>
    <x v="49"/>
    <x v="300"/>
    <x v="76"/>
    <x v="349"/>
    <x v="0"/>
  </r>
  <r>
    <x v="0"/>
    <x v="43"/>
    <x v="43"/>
    <x v="32"/>
    <x v="32"/>
    <x v="32"/>
    <x v="17"/>
    <x v="78"/>
    <x v="58"/>
    <x v="67"/>
    <x v="229"/>
    <x v="76"/>
    <x v="349"/>
    <x v="0"/>
  </r>
  <r>
    <x v="0"/>
    <x v="43"/>
    <x v="43"/>
    <x v="75"/>
    <x v="75"/>
    <x v="75"/>
    <x v="17"/>
    <x v="78"/>
    <x v="58"/>
    <x v="50"/>
    <x v="314"/>
    <x v="52"/>
    <x v="20"/>
    <x v="0"/>
  </r>
  <r>
    <x v="0"/>
    <x v="43"/>
    <x v="43"/>
    <x v="8"/>
    <x v="8"/>
    <x v="8"/>
    <x v="19"/>
    <x v="224"/>
    <x v="132"/>
    <x v="77"/>
    <x v="197"/>
    <x v="53"/>
    <x v="348"/>
    <x v="0"/>
  </r>
  <r>
    <x v="0"/>
    <x v="43"/>
    <x v="43"/>
    <x v="15"/>
    <x v="15"/>
    <x v="15"/>
    <x v="19"/>
    <x v="224"/>
    <x v="132"/>
    <x v="49"/>
    <x v="300"/>
    <x v="64"/>
    <x v="202"/>
    <x v="0"/>
  </r>
  <r>
    <x v="0"/>
    <x v="43"/>
    <x v="43"/>
    <x v="3"/>
    <x v="3"/>
    <x v="3"/>
    <x v="19"/>
    <x v="224"/>
    <x v="132"/>
    <x v="62"/>
    <x v="456"/>
    <x v="60"/>
    <x v="23"/>
    <x v="0"/>
  </r>
  <r>
    <x v="0"/>
    <x v="44"/>
    <x v="44"/>
    <x v="21"/>
    <x v="21"/>
    <x v="21"/>
    <x v="0"/>
    <x v="72"/>
    <x v="149"/>
    <x v="55"/>
    <x v="1"/>
    <x v="23"/>
    <x v="353"/>
    <x v="0"/>
  </r>
  <r>
    <x v="0"/>
    <x v="44"/>
    <x v="44"/>
    <x v="0"/>
    <x v="0"/>
    <x v="0"/>
    <x v="1"/>
    <x v="66"/>
    <x v="228"/>
    <x v="53"/>
    <x v="3"/>
    <x v="58"/>
    <x v="270"/>
    <x v="0"/>
  </r>
  <r>
    <x v="0"/>
    <x v="44"/>
    <x v="44"/>
    <x v="7"/>
    <x v="7"/>
    <x v="7"/>
    <x v="2"/>
    <x v="75"/>
    <x v="275"/>
    <x v="49"/>
    <x v="457"/>
    <x v="67"/>
    <x v="354"/>
    <x v="0"/>
  </r>
  <r>
    <x v="0"/>
    <x v="44"/>
    <x v="44"/>
    <x v="10"/>
    <x v="10"/>
    <x v="10"/>
    <x v="2"/>
    <x v="75"/>
    <x v="275"/>
    <x v="66"/>
    <x v="396"/>
    <x v="59"/>
    <x v="307"/>
    <x v="0"/>
  </r>
  <r>
    <x v="0"/>
    <x v="44"/>
    <x v="44"/>
    <x v="26"/>
    <x v="26"/>
    <x v="26"/>
    <x v="4"/>
    <x v="223"/>
    <x v="68"/>
    <x v="67"/>
    <x v="458"/>
    <x v="40"/>
    <x v="355"/>
    <x v="0"/>
  </r>
  <r>
    <x v="0"/>
    <x v="44"/>
    <x v="44"/>
    <x v="1"/>
    <x v="1"/>
    <x v="1"/>
    <x v="4"/>
    <x v="223"/>
    <x v="68"/>
    <x v="97"/>
    <x v="48"/>
    <x v="52"/>
    <x v="258"/>
    <x v="0"/>
  </r>
  <r>
    <x v="0"/>
    <x v="44"/>
    <x v="44"/>
    <x v="4"/>
    <x v="4"/>
    <x v="4"/>
    <x v="6"/>
    <x v="78"/>
    <x v="262"/>
    <x v="79"/>
    <x v="459"/>
    <x v="42"/>
    <x v="42"/>
    <x v="0"/>
  </r>
  <r>
    <x v="0"/>
    <x v="44"/>
    <x v="44"/>
    <x v="9"/>
    <x v="9"/>
    <x v="9"/>
    <x v="6"/>
    <x v="78"/>
    <x v="262"/>
    <x v="62"/>
    <x v="137"/>
    <x v="44"/>
    <x v="356"/>
    <x v="0"/>
  </r>
  <r>
    <x v="0"/>
    <x v="44"/>
    <x v="44"/>
    <x v="48"/>
    <x v="48"/>
    <x v="48"/>
    <x v="8"/>
    <x v="224"/>
    <x v="161"/>
    <x v="49"/>
    <x v="457"/>
    <x v="64"/>
    <x v="116"/>
    <x v="0"/>
  </r>
  <r>
    <x v="0"/>
    <x v="44"/>
    <x v="44"/>
    <x v="15"/>
    <x v="15"/>
    <x v="15"/>
    <x v="8"/>
    <x v="224"/>
    <x v="161"/>
    <x v="80"/>
    <x v="460"/>
    <x v="55"/>
    <x v="77"/>
    <x v="0"/>
  </r>
  <r>
    <x v="0"/>
    <x v="44"/>
    <x v="44"/>
    <x v="33"/>
    <x v="33"/>
    <x v="33"/>
    <x v="10"/>
    <x v="229"/>
    <x v="43"/>
    <x v="97"/>
    <x v="48"/>
    <x v="58"/>
    <x v="270"/>
    <x v="0"/>
  </r>
  <r>
    <x v="0"/>
    <x v="44"/>
    <x v="44"/>
    <x v="32"/>
    <x v="32"/>
    <x v="32"/>
    <x v="10"/>
    <x v="229"/>
    <x v="43"/>
    <x v="49"/>
    <x v="457"/>
    <x v="57"/>
    <x v="301"/>
    <x v="0"/>
  </r>
  <r>
    <x v="0"/>
    <x v="44"/>
    <x v="44"/>
    <x v="14"/>
    <x v="14"/>
    <x v="14"/>
    <x v="12"/>
    <x v="236"/>
    <x v="29"/>
    <x v="77"/>
    <x v="34"/>
    <x v="64"/>
    <x v="116"/>
    <x v="0"/>
  </r>
  <r>
    <x v="0"/>
    <x v="44"/>
    <x v="44"/>
    <x v="18"/>
    <x v="18"/>
    <x v="18"/>
    <x v="12"/>
    <x v="236"/>
    <x v="29"/>
    <x v="97"/>
    <x v="48"/>
    <x v="44"/>
    <x v="356"/>
    <x v="0"/>
  </r>
  <r>
    <x v="0"/>
    <x v="44"/>
    <x v="44"/>
    <x v="49"/>
    <x v="49"/>
    <x v="49"/>
    <x v="14"/>
    <x v="237"/>
    <x v="12"/>
    <x v="97"/>
    <x v="48"/>
    <x v="60"/>
    <x v="228"/>
    <x v="0"/>
  </r>
  <r>
    <x v="0"/>
    <x v="44"/>
    <x v="44"/>
    <x v="73"/>
    <x v="73"/>
    <x v="73"/>
    <x v="14"/>
    <x v="237"/>
    <x v="12"/>
    <x v="66"/>
    <x v="396"/>
    <x v="42"/>
    <x v="42"/>
    <x v="0"/>
  </r>
  <r>
    <x v="0"/>
    <x v="44"/>
    <x v="44"/>
    <x v="75"/>
    <x v="75"/>
    <x v="75"/>
    <x v="16"/>
    <x v="233"/>
    <x v="87"/>
    <x v="47"/>
    <x v="307"/>
    <x v="58"/>
    <x v="270"/>
    <x v="0"/>
  </r>
  <r>
    <x v="0"/>
    <x v="44"/>
    <x v="44"/>
    <x v="17"/>
    <x v="17"/>
    <x v="17"/>
    <x v="16"/>
    <x v="233"/>
    <x v="87"/>
    <x v="49"/>
    <x v="457"/>
    <x v="55"/>
    <x v="77"/>
    <x v="0"/>
  </r>
  <r>
    <x v="0"/>
    <x v="44"/>
    <x v="44"/>
    <x v="56"/>
    <x v="56"/>
    <x v="56"/>
    <x v="16"/>
    <x v="233"/>
    <x v="87"/>
    <x v="49"/>
    <x v="457"/>
    <x v="55"/>
    <x v="77"/>
    <x v="0"/>
  </r>
  <r>
    <x v="0"/>
    <x v="44"/>
    <x v="44"/>
    <x v="74"/>
    <x v="74"/>
    <x v="74"/>
    <x v="19"/>
    <x v="234"/>
    <x v="33"/>
    <x v="67"/>
    <x v="458"/>
    <x v="55"/>
    <x v="77"/>
    <x v="0"/>
  </r>
  <r>
    <x v="0"/>
    <x v="45"/>
    <x v="45"/>
    <x v="0"/>
    <x v="0"/>
    <x v="0"/>
    <x v="0"/>
    <x v="66"/>
    <x v="177"/>
    <x v="147"/>
    <x v="461"/>
    <x v="42"/>
    <x v="42"/>
    <x v="0"/>
  </r>
  <r>
    <x v="0"/>
    <x v="45"/>
    <x v="45"/>
    <x v="1"/>
    <x v="1"/>
    <x v="1"/>
    <x v="1"/>
    <x v="75"/>
    <x v="305"/>
    <x v="47"/>
    <x v="64"/>
    <x v="53"/>
    <x v="269"/>
    <x v="0"/>
  </r>
  <r>
    <x v="0"/>
    <x v="45"/>
    <x v="45"/>
    <x v="12"/>
    <x v="12"/>
    <x v="12"/>
    <x v="2"/>
    <x v="233"/>
    <x v="244"/>
    <x v="80"/>
    <x v="462"/>
    <x v="60"/>
    <x v="261"/>
    <x v="0"/>
  </r>
  <r>
    <x v="0"/>
    <x v="45"/>
    <x v="45"/>
    <x v="4"/>
    <x v="4"/>
    <x v="4"/>
    <x v="2"/>
    <x v="233"/>
    <x v="244"/>
    <x v="97"/>
    <x v="463"/>
    <x v="42"/>
    <x v="42"/>
    <x v="0"/>
  </r>
  <r>
    <x v="0"/>
    <x v="45"/>
    <x v="45"/>
    <x v="33"/>
    <x v="33"/>
    <x v="33"/>
    <x v="4"/>
    <x v="234"/>
    <x v="50"/>
    <x v="49"/>
    <x v="444"/>
    <x v="46"/>
    <x v="266"/>
    <x v="0"/>
  </r>
  <r>
    <x v="0"/>
    <x v="45"/>
    <x v="45"/>
    <x v="7"/>
    <x v="7"/>
    <x v="7"/>
    <x v="5"/>
    <x v="235"/>
    <x v="83"/>
    <x v="140"/>
    <x v="13"/>
    <x v="52"/>
    <x v="48"/>
    <x v="0"/>
  </r>
  <r>
    <x v="0"/>
    <x v="45"/>
    <x v="45"/>
    <x v="10"/>
    <x v="10"/>
    <x v="10"/>
    <x v="5"/>
    <x v="235"/>
    <x v="83"/>
    <x v="47"/>
    <x v="64"/>
    <x v="44"/>
    <x v="54"/>
    <x v="0"/>
  </r>
  <r>
    <x v="0"/>
    <x v="45"/>
    <x v="45"/>
    <x v="6"/>
    <x v="6"/>
    <x v="6"/>
    <x v="5"/>
    <x v="235"/>
    <x v="83"/>
    <x v="76"/>
    <x v="464"/>
    <x v="60"/>
    <x v="261"/>
    <x v="0"/>
  </r>
  <r>
    <x v="0"/>
    <x v="45"/>
    <x v="45"/>
    <x v="14"/>
    <x v="14"/>
    <x v="14"/>
    <x v="8"/>
    <x v="239"/>
    <x v="238"/>
    <x v="162"/>
    <x v="236"/>
    <x v="52"/>
    <x v="48"/>
    <x v="0"/>
  </r>
  <r>
    <x v="0"/>
    <x v="45"/>
    <x v="45"/>
    <x v="5"/>
    <x v="5"/>
    <x v="5"/>
    <x v="8"/>
    <x v="239"/>
    <x v="238"/>
    <x v="68"/>
    <x v="374"/>
    <x v="44"/>
    <x v="54"/>
    <x v="0"/>
  </r>
  <r>
    <x v="0"/>
    <x v="45"/>
    <x v="45"/>
    <x v="11"/>
    <x v="11"/>
    <x v="11"/>
    <x v="10"/>
    <x v="240"/>
    <x v="27"/>
    <x v="47"/>
    <x v="64"/>
    <x v="42"/>
    <x v="42"/>
    <x v="0"/>
  </r>
  <r>
    <x v="0"/>
    <x v="45"/>
    <x v="45"/>
    <x v="8"/>
    <x v="8"/>
    <x v="8"/>
    <x v="10"/>
    <x v="240"/>
    <x v="27"/>
    <x v="59"/>
    <x v="324"/>
    <x v="58"/>
    <x v="357"/>
    <x v="0"/>
  </r>
  <r>
    <x v="0"/>
    <x v="45"/>
    <x v="45"/>
    <x v="2"/>
    <x v="2"/>
    <x v="2"/>
    <x v="10"/>
    <x v="240"/>
    <x v="27"/>
    <x v="68"/>
    <x v="374"/>
    <x v="60"/>
    <x v="261"/>
    <x v="0"/>
  </r>
  <r>
    <x v="0"/>
    <x v="45"/>
    <x v="45"/>
    <x v="28"/>
    <x v="28"/>
    <x v="28"/>
    <x v="10"/>
    <x v="240"/>
    <x v="27"/>
    <x v="59"/>
    <x v="324"/>
    <x v="58"/>
    <x v="357"/>
    <x v="0"/>
  </r>
  <r>
    <x v="0"/>
    <x v="45"/>
    <x v="45"/>
    <x v="66"/>
    <x v="66"/>
    <x v="66"/>
    <x v="10"/>
    <x v="240"/>
    <x v="27"/>
    <x v="68"/>
    <x v="374"/>
    <x v="60"/>
    <x v="261"/>
    <x v="0"/>
  </r>
  <r>
    <x v="0"/>
    <x v="45"/>
    <x v="45"/>
    <x v="48"/>
    <x v="48"/>
    <x v="48"/>
    <x v="15"/>
    <x v="241"/>
    <x v="164"/>
    <x v="49"/>
    <x v="444"/>
    <x v="60"/>
    <x v="261"/>
    <x v="0"/>
  </r>
  <r>
    <x v="0"/>
    <x v="45"/>
    <x v="45"/>
    <x v="21"/>
    <x v="21"/>
    <x v="21"/>
    <x v="15"/>
    <x v="241"/>
    <x v="164"/>
    <x v="77"/>
    <x v="268"/>
    <x v="58"/>
    <x v="357"/>
    <x v="0"/>
  </r>
  <r>
    <x v="0"/>
    <x v="45"/>
    <x v="45"/>
    <x v="76"/>
    <x v="76"/>
    <x v="76"/>
    <x v="15"/>
    <x v="241"/>
    <x v="164"/>
    <x v="67"/>
    <x v="280"/>
    <x v="44"/>
    <x v="54"/>
    <x v="0"/>
  </r>
  <r>
    <x v="0"/>
    <x v="45"/>
    <x v="45"/>
    <x v="18"/>
    <x v="18"/>
    <x v="18"/>
    <x v="15"/>
    <x v="241"/>
    <x v="164"/>
    <x v="77"/>
    <x v="268"/>
    <x v="58"/>
    <x v="357"/>
    <x v="0"/>
  </r>
  <r>
    <x v="0"/>
    <x v="45"/>
    <x v="45"/>
    <x v="17"/>
    <x v="17"/>
    <x v="17"/>
    <x v="19"/>
    <x v="242"/>
    <x v="61"/>
    <x v="77"/>
    <x v="268"/>
    <x v="51"/>
    <x v="140"/>
    <x v="0"/>
  </r>
  <r>
    <x v="0"/>
    <x v="45"/>
    <x v="45"/>
    <x v="70"/>
    <x v="70"/>
    <x v="70"/>
    <x v="19"/>
    <x v="242"/>
    <x v="61"/>
    <x v="162"/>
    <x v="236"/>
    <x v="46"/>
    <x v="266"/>
    <x v="0"/>
  </r>
  <r>
    <x v="0"/>
    <x v="45"/>
    <x v="45"/>
    <x v="19"/>
    <x v="19"/>
    <x v="19"/>
    <x v="19"/>
    <x v="242"/>
    <x v="61"/>
    <x v="59"/>
    <x v="324"/>
    <x v="44"/>
    <x v="54"/>
    <x v="0"/>
  </r>
  <r>
    <x v="0"/>
    <x v="45"/>
    <x v="45"/>
    <x v="23"/>
    <x v="23"/>
    <x v="23"/>
    <x v="19"/>
    <x v="242"/>
    <x v="61"/>
    <x v="67"/>
    <x v="280"/>
    <x v="60"/>
    <x v="261"/>
    <x v="0"/>
  </r>
  <r>
    <x v="0"/>
    <x v="45"/>
    <x v="45"/>
    <x v="35"/>
    <x v="35"/>
    <x v="35"/>
    <x v="19"/>
    <x v="242"/>
    <x v="61"/>
    <x v="162"/>
    <x v="236"/>
    <x v="46"/>
    <x v="266"/>
    <x v="0"/>
  </r>
  <r>
    <x v="0"/>
    <x v="45"/>
    <x v="45"/>
    <x v="77"/>
    <x v="77"/>
    <x v="77"/>
    <x v="19"/>
    <x v="242"/>
    <x v="61"/>
    <x v="67"/>
    <x v="280"/>
    <x v="60"/>
    <x v="261"/>
    <x v="0"/>
  </r>
  <r>
    <x v="0"/>
    <x v="45"/>
    <x v="45"/>
    <x v="25"/>
    <x v="25"/>
    <x v="25"/>
    <x v="19"/>
    <x v="242"/>
    <x v="61"/>
    <x v="67"/>
    <x v="280"/>
    <x v="60"/>
    <x v="261"/>
    <x v="0"/>
  </r>
  <r>
    <x v="0"/>
    <x v="46"/>
    <x v="46"/>
    <x v="1"/>
    <x v="1"/>
    <x v="1"/>
    <x v="0"/>
    <x v="211"/>
    <x v="306"/>
    <x v="56"/>
    <x v="465"/>
    <x v="111"/>
    <x v="358"/>
    <x v="0"/>
  </r>
  <r>
    <x v="0"/>
    <x v="46"/>
    <x v="46"/>
    <x v="0"/>
    <x v="0"/>
    <x v="0"/>
    <x v="1"/>
    <x v="60"/>
    <x v="307"/>
    <x v="87"/>
    <x v="466"/>
    <x v="51"/>
    <x v="313"/>
    <x v="0"/>
  </r>
  <r>
    <x v="0"/>
    <x v="46"/>
    <x v="46"/>
    <x v="5"/>
    <x v="5"/>
    <x v="5"/>
    <x v="2"/>
    <x v="74"/>
    <x v="158"/>
    <x v="73"/>
    <x v="296"/>
    <x v="52"/>
    <x v="77"/>
    <x v="0"/>
  </r>
  <r>
    <x v="0"/>
    <x v="46"/>
    <x v="46"/>
    <x v="10"/>
    <x v="10"/>
    <x v="10"/>
    <x v="3"/>
    <x v="66"/>
    <x v="41"/>
    <x v="97"/>
    <x v="467"/>
    <x v="48"/>
    <x v="314"/>
    <x v="0"/>
  </r>
  <r>
    <x v="0"/>
    <x v="46"/>
    <x v="46"/>
    <x v="2"/>
    <x v="2"/>
    <x v="2"/>
    <x v="3"/>
    <x v="66"/>
    <x v="41"/>
    <x v="69"/>
    <x v="468"/>
    <x v="51"/>
    <x v="313"/>
    <x v="0"/>
  </r>
  <r>
    <x v="0"/>
    <x v="46"/>
    <x v="46"/>
    <x v="13"/>
    <x v="13"/>
    <x v="13"/>
    <x v="5"/>
    <x v="67"/>
    <x v="144"/>
    <x v="49"/>
    <x v="417"/>
    <x v="56"/>
    <x v="359"/>
    <x v="0"/>
  </r>
  <r>
    <x v="0"/>
    <x v="46"/>
    <x v="46"/>
    <x v="3"/>
    <x v="3"/>
    <x v="3"/>
    <x v="6"/>
    <x v="76"/>
    <x v="153"/>
    <x v="69"/>
    <x v="468"/>
    <x v="42"/>
    <x v="42"/>
    <x v="0"/>
  </r>
  <r>
    <x v="0"/>
    <x v="46"/>
    <x v="46"/>
    <x v="8"/>
    <x v="8"/>
    <x v="8"/>
    <x v="7"/>
    <x v="223"/>
    <x v="253"/>
    <x v="49"/>
    <x v="417"/>
    <x v="53"/>
    <x v="360"/>
    <x v="0"/>
  </r>
  <r>
    <x v="0"/>
    <x v="46"/>
    <x v="46"/>
    <x v="11"/>
    <x v="11"/>
    <x v="11"/>
    <x v="8"/>
    <x v="77"/>
    <x v="86"/>
    <x v="80"/>
    <x v="469"/>
    <x v="52"/>
    <x v="77"/>
    <x v="0"/>
  </r>
  <r>
    <x v="0"/>
    <x v="46"/>
    <x v="46"/>
    <x v="18"/>
    <x v="18"/>
    <x v="18"/>
    <x v="8"/>
    <x v="77"/>
    <x v="86"/>
    <x v="76"/>
    <x v="112"/>
    <x v="57"/>
    <x v="151"/>
    <x v="0"/>
  </r>
  <r>
    <x v="0"/>
    <x v="46"/>
    <x v="46"/>
    <x v="4"/>
    <x v="4"/>
    <x v="4"/>
    <x v="10"/>
    <x v="78"/>
    <x v="162"/>
    <x v="78"/>
    <x v="470"/>
    <x v="60"/>
    <x v="44"/>
    <x v="0"/>
  </r>
  <r>
    <x v="0"/>
    <x v="46"/>
    <x v="46"/>
    <x v="6"/>
    <x v="6"/>
    <x v="6"/>
    <x v="10"/>
    <x v="78"/>
    <x v="162"/>
    <x v="96"/>
    <x v="471"/>
    <x v="51"/>
    <x v="313"/>
    <x v="0"/>
  </r>
  <r>
    <x v="0"/>
    <x v="46"/>
    <x v="46"/>
    <x v="49"/>
    <x v="49"/>
    <x v="49"/>
    <x v="12"/>
    <x v="230"/>
    <x v="254"/>
    <x v="59"/>
    <x v="224"/>
    <x v="64"/>
    <x v="67"/>
    <x v="0"/>
  </r>
  <r>
    <x v="0"/>
    <x v="46"/>
    <x v="46"/>
    <x v="17"/>
    <x v="17"/>
    <x v="17"/>
    <x v="12"/>
    <x v="230"/>
    <x v="254"/>
    <x v="140"/>
    <x v="208"/>
    <x v="76"/>
    <x v="317"/>
    <x v="0"/>
  </r>
  <r>
    <x v="0"/>
    <x v="46"/>
    <x v="46"/>
    <x v="26"/>
    <x v="26"/>
    <x v="26"/>
    <x v="12"/>
    <x v="230"/>
    <x v="254"/>
    <x v="49"/>
    <x v="417"/>
    <x v="59"/>
    <x v="318"/>
    <x v="0"/>
  </r>
  <r>
    <x v="0"/>
    <x v="46"/>
    <x v="46"/>
    <x v="54"/>
    <x v="54"/>
    <x v="54"/>
    <x v="12"/>
    <x v="230"/>
    <x v="254"/>
    <x v="97"/>
    <x v="467"/>
    <x v="51"/>
    <x v="313"/>
    <x v="0"/>
  </r>
  <r>
    <x v="0"/>
    <x v="46"/>
    <x v="46"/>
    <x v="21"/>
    <x v="21"/>
    <x v="21"/>
    <x v="16"/>
    <x v="236"/>
    <x v="102"/>
    <x v="162"/>
    <x v="236"/>
    <x v="76"/>
    <x v="317"/>
    <x v="0"/>
  </r>
  <r>
    <x v="0"/>
    <x v="46"/>
    <x v="46"/>
    <x v="12"/>
    <x v="12"/>
    <x v="12"/>
    <x v="17"/>
    <x v="237"/>
    <x v="89"/>
    <x v="50"/>
    <x v="472"/>
    <x v="51"/>
    <x v="313"/>
    <x v="0"/>
  </r>
  <r>
    <x v="0"/>
    <x v="46"/>
    <x v="46"/>
    <x v="16"/>
    <x v="16"/>
    <x v="16"/>
    <x v="17"/>
    <x v="237"/>
    <x v="89"/>
    <x v="140"/>
    <x v="208"/>
    <x v="64"/>
    <x v="67"/>
    <x v="0"/>
  </r>
  <r>
    <x v="0"/>
    <x v="46"/>
    <x v="46"/>
    <x v="7"/>
    <x v="7"/>
    <x v="7"/>
    <x v="19"/>
    <x v="233"/>
    <x v="230"/>
    <x v="162"/>
    <x v="236"/>
    <x v="64"/>
    <x v="67"/>
    <x v="0"/>
  </r>
  <r>
    <x v="0"/>
    <x v="46"/>
    <x v="46"/>
    <x v="28"/>
    <x v="28"/>
    <x v="28"/>
    <x v="19"/>
    <x v="233"/>
    <x v="230"/>
    <x v="77"/>
    <x v="34"/>
    <x v="59"/>
    <x v="318"/>
    <x v="0"/>
  </r>
  <r>
    <x v="0"/>
    <x v="46"/>
    <x v="46"/>
    <x v="9"/>
    <x v="9"/>
    <x v="9"/>
    <x v="19"/>
    <x v="233"/>
    <x v="230"/>
    <x v="80"/>
    <x v="469"/>
    <x v="60"/>
    <x v="44"/>
    <x v="0"/>
  </r>
  <r>
    <x v="0"/>
    <x v="47"/>
    <x v="47"/>
    <x v="26"/>
    <x v="26"/>
    <x v="26"/>
    <x v="0"/>
    <x v="73"/>
    <x v="308"/>
    <x v="49"/>
    <x v="473"/>
    <x v="43"/>
    <x v="361"/>
    <x v="0"/>
  </r>
  <r>
    <x v="0"/>
    <x v="47"/>
    <x v="47"/>
    <x v="21"/>
    <x v="21"/>
    <x v="21"/>
    <x v="1"/>
    <x v="75"/>
    <x v="260"/>
    <x v="50"/>
    <x v="73"/>
    <x v="48"/>
    <x v="219"/>
    <x v="0"/>
  </r>
  <r>
    <x v="0"/>
    <x v="47"/>
    <x v="47"/>
    <x v="17"/>
    <x v="17"/>
    <x v="17"/>
    <x v="2"/>
    <x v="78"/>
    <x v="95"/>
    <x v="77"/>
    <x v="60"/>
    <x v="40"/>
    <x v="362"/>
    <x v="0"/>
  </r>
  <r>
    <x v="0"/>
    <x v="47"/>
    <x v="47"/>
    <x v="10"/>
    <x v="10"/>
    <x v="10"/>
    <x v="2"/>
    <x v="78"/>
    <x v="95"/>
    <x v="66"/>
    <x v="474"/>
    <x v="46"/>
    <x v="147"/>
    <x v="0"/>
  </r>
  <r>
    <x v="0"/>
    <x v="47"/>
    <x v="47"/>
    <x v="18"/>
    <x v="18"/>
    <x v="18"/>
    <x v="2"/>
    <x v="78"/>
    <x v="95"/>
    <x v="97"/>
    <x v="475"/>
    <x v="55"/>
    <x v="363"/>
    <x v="0"/>
  </r>
  <r>
    <x v="0"/>
    <x v="47"/>
    <x v="47"/>
    <x v="56"/>
    <x v="56"/>
    <x v="56"/>
    <x v="5"/>
    <x v="236"/>
    <x v="23"/>
    <x v="49"/>
    <x v="473"/>
    <x v="52"/>
    <x v="8"/>
    <x v="0"/>
  </r>
  <r>
    <x v="0"/>
    <x v="47"/>
    <x v="47"/>
    <x v="0"/>
    <x v="0"/>
    <x v="0"/>
    <x v="5"/>
    <x v="236"/>
    <x v="23"/>
    <x v="55"/>
    <x v="153"/>
    <x v="42"/>
    <x v="42"/>
    <x v="0"/>
  </r>
  <r>
    <x v="0"/>
    <x v="47"/>
    <x v="47"/>
    <x v="74"/>
    <x v="74"/>
    <x v="74"/>
    <x v="7"/>
    <x v="237"/>
    <x v="54"/>
    <x v="49"/>
    <x v="473"/>
    <x v="45"/>
    <x v="278"/>
    <x v="0"/>
  </r>
  <r>
    <x v="0"/>
    <x v="47"/>
    <x v="47"/>
    <x v="70"/>
    <x v="70"/>
    <x v="70"/>
    <x v="7"/>
    <x v="237"/>
    <x v="54"/>
    <x v="140"/>
    <x v="476"/>
    <x v="64"/>
    <x v="364"/>
    <x v="0"/>
  </r>
  <r>
    <x v="0"/>
    <x v="47"/>
    <x v="47"/>
    <x v="14"/>
    <x v="14"/>
    <x v="14"/>
    <x v="9"/>
    <x v="233"/>
    <x v="111"/>
    <x v="140"/>
    <x v="476"/>
    <x v="57"/>
    <x v="103"/>
    <x v="0"/>
  </r>
  <r>
    <x v="0"/>
    <x v="47"/>
    <x v="47"/>
    <x v="38"/>
    <x v="38"/>
    <x v="38"/>
    <x v="9"/>
    <x v="233"/>
    <x v="111"/>
    <x v="77"/>
    <x v="60"/>
    <x v="59"/>
    <x v="282"/>
    <x v="0"/>
  </r>
  <r>
    <x v="0"/>
    <x v="47"/>
    <x v="47"/>
    <x v="1"/>
    <x v="1"/>
    <x v="1"/>
    <x v="9"/>
    <x v="233"/>
    <x v="111"/>
    <x v="68"/>
    <x v="477"/>
    <x v="46"/>
    <x v="147"/>
    <x v="0"/>
  </r>
  <r>
    <x v="0"/>
    <x v="47"/>
    <x v="47"/>
    <x v="6"/>
    <x v="6"/>
    <x v="6"/>
    <x v="9"/>
    <x v="233"/>
    <x v="111"/>
    <x v="97"/>
    <x v="475"/>
    <x v="42"/>
    <x v="42"/>
    <x v="0"/>
  </r>
  <r>
    <x v="0"/>
    <x v="47"/>
    <x v="47"/>
    <x v="7"/>
    <x v="7"/>
    <x v="7"/>
    <x v="13"/>
    <x v="234"/>
    <x v="229"/>
    <x v="77"/>
    <x v="60"/>
    <x v="52"/>
    <x v="8"/>
    <x v="0"/>
  </r>
  <r>
    <x v="0"/>
    <x v="47"/>
    <x v="47"/>
    <x v="33"/>
    <x v="33"/>
    <x v="33"/>
    <x v="13"/>
    <x v="234"/>
    <x v="229"/>
    <x v="50"/>
    <x v="73"/>
    <x v="60"/>
    <x v="299"/>
    <x v="0"/>
  </r>
  <r>
    <x v="0"/>
    <x v="47"/>
    <x v="47"/>
    <x v="48"/>
    <x v="48"/>
    <x v="48"/>
    <x v="13"/>
    <x v="234"/>
    <x v="229"/>
    <x v="68"/>
    <x v="477"/>
    <x v="58"/>
    <x v="131"/>
    <x v="0"/>
  </r>
  <r>
    <x v="0"/>
    <x v="47"/>
    <x v="47"/>
    <x v="49"/>
    <x v="49"/>
    <x v="49"/>
    <x v="13"/>
    <x v="234"/>
    <x v="229"/>
    <x v="67"/>
    <x v="478"/>
    <x v="55"/>
    <x v="363"/>
    <x v="0"/>
  </r>
  <r>
    <x v="0"/>
    <x v="47"/>
    <x v="47"/>
    <x v="73"/>
    <x v="73"/>
    <x v="73"/>
    <x v="13"/>
    <x v="234"/>
    <x v="229"/>
    <x v="80"/>
    <x v="479"/>
    <x v="42"/>
    <x v="42"/>
    <x v="0"/>
  </r>
  <r>
    <x v="0"/>
    <x v="47"/>
    <x v="47"/>
    <x v="4"/>
    <x v="4"/>
    <x v="4"/>
    <x v="13"/>
    <x v="234"/>
    <x v="229"/>
    <x v="80"/>
    <x v="479"/>
    <x v="42"/>
    <x v="42"/>
    <x v="0"/>
  </r>
  <r>
    <x v="0"/>
    <x v="47"/>
    <x v="47"/>
    <x v="8"/>
    <x v="8"/>
    <x v="8"/>
    <x v="19"/>
    <x v="235"/>
    <x v="254"/>
    <x v="67"/>
    <x v="478"/>
    <x v="46"/>
    <x v="147"/>
    <x v="0"/>
  </r>
  <r>
    <x v="0"/>
    <x v="47"/>
    <x v="47"/>
    <x v="9"/>
    <x v="9"/>
    <x v="9"/>
    <x v="19"/>
    <x v="235"/>
    <x v="254"/>
    <x v="76"/>
    <x v="480"/>
    <x v="60"/>
    <x v="299"/>
    <x v="0"/>
  </r>
  <r>
    <x v="0"/>
    <x v="48"/>
    <x v="48"/>
    <x v="1"/>
    <x v="1"/>
    <x v="1"/>
    <x v="0"/>
    <x v="76"/>
    <x v="309"/>
    <x v="77"/>
    <x v="303"/>
    <x v="54"/>
    <x v="365"/>
    <x v="0"/>
  </r>
  <r>
    <x v="0"/>
    <x v="48"/>
    <x v="48"/>
    <x v="13"/>
    <x v="13"/>
    <x v="13"/>
    <x v="1"/>
    <x v="223"/>
    <x v="295"/>
    <x v="162"/>
    <x v="236"/>
    <x v="23"/>
    <x v="366"/>
    <x v="0"/>
  </r>
  <r>
    <x v="0"/>
    <x v="48"/>
    <x v="48"/>
    <x v="10"/>
    <x v="10"/>
    <x v="10"/>
    <x v="2"/>
    <x v="77"/>
    <x v="151"/>
    <x v="80"/>
    <x v="481"/>
    <x v="52"/>
    <x v="266"/>
    <x v="0"/>
  </r>
  <r>
    <x v="0"/>
    <x v="48"/>
    <x v="48"/>
    <x v="0"/>
    <x v="0"/>
    <x v="0"/>
    <x v="3"/>
    <x v="229"/>
    <x v="216"/>
    <x v="55"/>
    <x v="482"/>
    <x v="44"/>
    <x v="6"/>
    <x v="0"/>
  </r>
  <r>
    <x v="0"/>
    <x v="48"/>
    <x v="48"/>
    <x v="7"/>
    <x v="7"/>
    <x v="7"/>
    <x v="4"/>
    <x v="233"/>
    <x v="53"/>
    <x v="162"/>
    <x v="236"/>
    <x v="64"/>
    <x v="285"/>
    <x v="0"/>
  </r>
  <r>
    <x v="0"/>
    <x v="48"/>
    <x v="48"/>
    <x v="8"/>
    <x v="8"/>
    <x v="8"/>
    <x v="5"/>
    <x v="234"/>
    <x v="85"/>
    <x v="77"/>
    <x v="303"/>
    <x v="52"/>
    <x v="266"/>
    <x v="0"/>
  </r>
  <r>
    <x v="0"/>
    <x v="48"/>
    <x v="48"/>
    <x v="21"/>
    <x v="21"/>
    <x v="21"/>
    <x v="6"/>
    <x v="235"/>
    <x v="184"/>
    <x v="140"/>
    <x v="238"/>
    <x v="52"/>
    <x v="266"/>
    <x v="0"/>
  </r>
  <r>
    <x v="0"/>
    <x v="48"/>
    <x v="48"/>
    <x v="70"/>
    <x v="70"/>
    <x v="70"/>
    <x v="6"/>
    <x v="235"/>
    <x v="184"/>
    <x v="162"/>
    <x v="236"/>
    <x v="59"/>
    <x v="116"/>
    <x v="0"/>
  </r>
  <r>
    <x v="0"/>
    <x v="48"/>
    <x v="48"/>
    <x v="16"/>
    <x v="16"/>
    <x v="16"/>
    <x v="6"/>
    <x v="235"/>
    <x v="184"/>
    <x v="162"/>
    <x v="236"/>
    <x v="59"/>
    <x v="116"/>
    <x v="0"/>
  </r>
  <r>
    <x v="0"/>
    <x v="48"/>
    <x v="48"/>
    <x v="2"/>
    <x v="2"/>
    <x v="2"/>
    <x v="6"/>
    <x v="235"/>
    <x v="184"/>
    <x v="47"/>
    <x v="310"/>
    <x v="44"/>
    <x v="6"/>
    <x v="0"/>
  </r>
  <r>
    <x v="0"/>
    <x v="48"/>
    <x v="48"/>
    <x v="11"/>
    <x v="11"/>
    <x v="11"/>
    <x v="10"/>
    <x v="239"/>
    <x v="30"/>
    <x v="67"/>
    <x v="472"/>
    <x v="58"/>
    <x v="167"/>
    <x v="0"/>
  </r>
  <r>
    <x v="0"/>
    <x v="48"/>
    <x v="48"/>
    <x v="51"/>
    <x v="51"/>
    <x v="51"/>
    <x v="10"/>
    <x v="239"/>
    <x v="30"/>
    <x v="59"/>
    <x v="438"/>
    <x v="46"/>
    <x v="99"/>
    <x v="0"/>
  </r>
  <r>
    <x v="0"/>
    <x v="48"/>
    <x v="48"/>
    <x v="4"/>
    <x v="4"/>
    <x v="4"/>
    <x v="10"/>
    <x v="239"/>
    <x v="30"/>
    <x v="47"/>
    <x v="310"/>
    <x v="60"/>
    <x v="72"/>
    <x v="0"/>
  </r>
  <r>
    <x v="0"/>
    <x v="48"/>
    <x v="48"/>
    <x v="9"/>
    <x v="9"/>
    <x v="9"/>
    <x v="10"/>
    <x v="239"/>
    <x v="30"/>
    <x v="76"/>
    <x v="304"/>
    <x v="42"/>
    <x v="42"/>
    <x v="0"/>
  </r>
  <r>
    <x v="0"/>
    <x v="48"/>
    <x v="48"/>
    <x v="18"/>
    <x v="18"/>
    <x v="18"/>
    <x v="10"/>
    <x v="239"/>
    <x v="30"/>
    <x v="49"/>
    <x v="483"/>
    <x v="51"/>
    <x v="107"/>
    <x v="0"/>
  </r>
  <r>
    <x v="0"/>
    <x v="48"/>
    <x v="48"/>
    <x v="14"/>
    <x v="14"/>
    <x v="14"/>
    <x v="15"/>
    <x v="240"/>
    <x v="113"/>
    <x v="140"/>
    <x v="238"/>
    <x v="55"/>
    <x v="84"/>
    <x v="0"/>
  </r>
  <r>
    <x v="0"/>
    <x v="48"/>
    <x v="48"/>
    <x v="49"/>
    <x v="49"/>
    <x v="49"/>
    <x v="15"/>
    <x v="240"/>
    <x v="113"/>
    <x v="140"/>
    <x v="238"/>
    <x v="55"/>
    <x v="84"/>
    <x v="0"/>
  </r>
  <r>
    <x v="0"/>
    <x v="48"/>
    <x v="48"/>
    <x v="17"/>
    <x v="17"/>
    <x v="17"/>
    <x v="15"/>
    <x v="240"/>
    <x v="113"/>
    <x v="140"/>
    <x v="238"/>
    <x v="55"/>
    <x v="84"/>
    <x v="0"/>
  </r>
  <r>
    <x v="0"/>
    <x v="48"/>
    <x v="48"/>
    <x v="42"/>
    <x v="42"/>
    <x v="42"/>
    <x v="15"/>
    <x v="240"/>
    <x v="113"/>
    <x v="77"/>
    <x v="303"/>
    <x v="46"/>
    <x v="99"/>
    <x v="0"/>
  </r>
  <r>
    <x v="0"/>
    <x v="48"/>
    <x v="48"/>
    <x v="38"/>
    <x v="38"/>
    <x v="38"/>
    <x v="15"/>
    <x v="240"/>
    <x v="113"/>
    <x v="77"/>
    <x v="303"/>
    <x v="46"/>
    <x v="99"/>
    <x v="0"/>
  </r>
  <r>
    <x v="0"/>
    <x v="48"/>
    <x v="48"/>
    <x v="68"/>
    <x v="68"/>
    <x v="68"/>
    <x v="15"/>
    <x v="240"/>
    <x v="113"/>
    <x v="162"/>
    <x v="236"/>
    <x v="45"/>
    <x v="43"/>
    <x v="0"/>
  </r>
  <r>
    <x v="0"/>
    <x v="48"/>
    <x v="48"/>
    <x v="6"/>
    <x v="6"/>
    <x v="6"/>
    <x v="15"/>
    <x v="240"/>
    <x v="113"/>
    <x v="49"/>
    <x v="483"/>
    <x v="44"/>
    <x v="6"/>
    <x v="0"/>
  </r>
  <r>
    <x v="0"/>
    <x v="49"/>
    <x v="49"/>
    <x v="10"/>
    <x v="10"/>
    <x v="10"/>
    <x v="0"/>
    <x v="237"/>
    <x v="310"/>
    <x v="49"/>
    <x v="484"/>
    <x v="45"/>
    <x v="69"/>
    <x v="0"/>
  </r>
  <r>
    <x v="0"/>
    <x v="49"/>
    <x v="49"/>
    <x v="7"/>
    <x v="7"/>
    <x v="7"/>
    <x v="1"/>
    <x v="240"/>
    <x v="220"/>
    <x v="162"/>
    <x v="236"/>
    <x v="45"/>
    <x v="69"/>
    <x v="0"/>
  </r>
  <r>
    <x v="0"/>
    <x v="49"/>
    <x v="49"/>
    <x v="25"/>
    <x v="25"/>
    <x v="25"/>
    <x v="2"/>
    <x v="241"/>
    <x v="67"/>
    <x v="67"/>
    <x v="485"/>
    <x v="44"/>
    <x v="191"/>
    <x v="0"/>
  </r>
  <r>
    <x v="0"/>
    <x v="49"/>
    <x v="49"/>
    <x v="5"/>
    <x v="5"/>
    <x v="5"/>
    <x v="2"/>
    <x v="241"/>
    <x v="67"/>
    <x v="59"/>
    <x v="486"/>
    <x v="51"/>
    <x v="127"/>
    <x v="0"/>
  </r>
  <r>
    <x v="0"/>
    <x v="49"/>
    <x v="49"/>
    <x v="18"/>
    <x v="18"/>
    <x v="18"/>
    <x v="2"/>
    <x v="241"/>
    <x v="67"/>
    <x v="49"/>
    <x v="484"/>
    <x v="60"/>
    <x v="86"/>
    <x v="0"/>
  </r>
  <r>
    <x v="0"/>
    <x v="49"/>
    <x v="49"/>
    <x v="14"/>
    <x v="14"/>
    <x v="14"/>
    <x v="5"/>
    <x v="242"/>
    <x v="42"/>
    <x v="77"/>
    <x v="487"/>
    <x v="51"/>
    <x v="127"/>
    <x v="0"/>
  </r>
  <r>
    <x v="0"/>
    <x v="49"/>
    <x v="49"/>
    <x v="23"/>
    <x v="23"/>
    <x v="23"/>
    <x v="5"/>
    <x v="242"/>
    <x v="42"/>
    <x v="49"/>
    <x v="484"/>
    <x v="42"/>
    <x v="42"/>
    <x v="0"/>
  </r>
  <r>
    <x v="0"/>
    <x v="49"/>
    <x v="49"/>
    <x v="78"/>
    <x v="78"/>
    <x v="78"/>
    <x v="7"/>
    <x v="243"/>
    <x v="26"/>
    <x v="140"/>
    <x v="19"/>
    <x v="51"/>
    <x v="127"/>
    <x v="0"/>
  </r>
  <r>
    <x v="0"/>
    <x v="49"/>
    <x v="49"/>
    <x v="21"/>
    <x v="21"/>
    <x v="21"/>
    <x v="7"/>
    <x v="243"/>
    <x v="26"/>
    <x v="77"/>
    <x v="487"/>
    <x v="44"/>
    <x v="191"/>
    <x v="0"/>
  </r>
  <r>
    <x v="0"/>
    <x v="49"/>
    <x v="49"/>
    <x v="31"/>
    <x v="31"/>
    <x v="31"/>
    <x v="7"/>
    <x v="243"/>
    <x v="26"/>
    <x v="162"/>
    <x v="236"/>
    <x v="58"/>
    <x v="253"/>
    <x v="0"/>
  </r>
  <r>
    <x v="0"/>
    <x v="49"/>
    <x v="49"/>
    <x v="79"/>
    <x v="79"/>
    <x v="79"/>
    <x v="7"/>
    <x v="243"/>
    <x v="26"/>
    <x v="162"/>
    <x v="236"/>
    <x v="58"/>
    <x v="253"/>
    <x v="0"/>
  </r>
  <r>
    <x v="0"/>
    <x v="49"/>
    <x v="49"/>
    <x v="6"/>
    <x v="6"/>
    <x v="6"/>
    <x v="7"/>
    <x v="243"/>
    <x v="26"/>
    <x v="67"/>
    <x v="485"/>
    <x v="42"/>
    <x v="42"/>
    <x v="0"/>
  </r>
  <r>
    <x v="0"/>
    <x v="49"/>
    <x v="49"/>
    <x v="17"/>
    <x v="17"/>
    <x v="17"/>
    <x v="12"/>
    <x v="244"/>
    <x v="155"/>
    <x v="77"/>
    <x v="487"/>
    <x v="60"/>
    <x v="86"/>
    <x v="0"/>
  </r>
  <r>
    <x v="0"/>
    <x v="49"/>
    <x v="49"/>
    <x v="80"/>
    <x v="80"/>
    <x v="80"/>
    <x v="12"/>
    <x v="244"/>
    <x v="155"/>
    <x v="162"/>
    <x v="236"/>
    <x v="51"/>
    <x v="127"/>
    <x v="0"/>
  </r>
  <r>
    <x v="0"/>
    <x v="49"/>
    <x v="49"/>
    <x v="11"/>
    <x v="11"/>
    <x v="11"/>
    <x v="12"/>
    <x v="244"/>
    <x v="155"/>
    <x v="59"/>
    <x v="486"/>
    <x v="42"/>
    <x v="42"/>
    <x v="0"/>
  </r>
  <r>
    <x v="0"/>
    <x v="49"/>
    <x v="49"/>
    <x v="68"/>
    <x v="68"/>
    <x v="68"/>
    <x v="12"/>
    <x v="244"/>
    <x v="155"/>
    <x v="77"/>
    <x v="487"/>
    <x v="60"/>
    <x v="86"/>
    <x v="0"/>
  </r>
  <r>
    <x v="0"/>
    <x v="49"/>
    <x v="49"/>
    <x v="81"/>
    <x v="81"/>
    <x v="81"/>
    <x v="12"/>
    <x v="244"/>
    <x v="155"/>
    <x v="162"/>
    <x v="236"/>
    <x v="51"/>
    <x v="127"/>
    <x v="0"/>
  </r>
  <r>
    <x v="0"/>
    <x v="49"/>
    <x v="49"/>
    <x v="82"/>
    <x v="82"/>
    <x v="82"/>
    <x v="17"/>
    <x v="245"/>
    <x v="311"/>
    <x v="140"/>
    <x v="19"/>
    <x v="60"/>
    <x v="86"/>
    <x v="0"/>
  </r>
  <r>
    <x v="0"/>
    <x v="49"/>
    <x v="49"/>
    <x v="33"/>
    <x v="33"/>
    <x v="33"/>
    <x v="17"/>
    <x v="245"/>
    <x v="311"/>
    <x v="162"/>
    <x v="236"/>
    <x v="44"/>
    <x v="191"/>
    <x v="0"/>
  </r>
  <r>
    <x v="0"/>
    <x v="49"/>
    <x v="49"/>
    <x v="49"/>
    <x v="49"/>
    <x v="49"/>
    <x v="17"/>
    <x v="245"/>
    <x v="311"/>
    <x v="140"/>
    <x v="19"/>
    <x v="60"/>
    <x v="86"/>
    <x v="0"/>
  </r>
  <r>
    <x v="0"/>
    <x v="49"/>
    <x v="49"/>
    <x v="67"/>
    <x v="67"/>
    <x v="67"/>
    <x v="17"/>
    <x v="245"/>
    <x v="311"/>
    <x v="162"/>
    <x v="236"/>
    <x v="44"/>
    <x v="191"/>
    <x v="0"/>
  </r>
  <r>
    <x v="0"/>
    <x v="49"/>
    <x v="49"/>
    <x v="83"/>
    <x v="83"/>
    <x v="83"/>
    <x v="17"/>
    <x v="245"/>
    <x v="311"/>
    <x v="162"/>
    <x v="236"/>
    <x v="44"/>
    <x v="191"/>
    <x v="0"/>
  </r>
  <r>
    <x v="0"/>
    <x v="49"/>
    <x v="49"/>
    <x v="84"/>
    <x v="84"/>
    <x v="84"/>
    <x v="17"/>
    <x v="245"/>
    <x v="311"/>
    <x v="77"/>
    <x v="487"/>
    <x v="42"/>
    <x v="42"/>
    <x v="0"/>
  </r>
  <r>
    <x v="0"/>
    <x v="49"/>
    <x v="49"/>
    <x v="26"/>
    <x v="26"/>
    <x v="26"/>
    <x v="17"/>
    <x v="245"/>
    <x v="311"/>
    <x v="140"/>
    <x v="19"/>
    <x v="60"/>
    <x v="86"/>
    <x v="0"/>
  </r>
  <r>
    <x v="0"/>
    <x v="49"/>
    <x v="49"/>
    <x v="74"/>
    <x v="74"/>
    <x v="74"/>
    <x v="17"/>
    <x v="245"/>
    <x v="311"/>
    <x v="140"/>
    <x v="19"/>
    <x v="60"/>
    <x v="86"/>
    <x v="0"/>
  </r>
  <r>
    <x v="0"/>
    <x v="49"/>
    <x v="49"/>
    <x v="70"/>
    <x v="70"/>
    <x v="70"/>
    <x v="17"/>
    <x v="245"/>
    <x v="311"/>
    <x v="162"/>
    <x v="236"/>
    <x v="44"/>
    <x v="191"/>
    <x v="0"/>
  </r>
  <r>
    <x v="0"/>
    <x v="49"/>
    <x v="49"/>
    <x v="85"/>
    <x v="85"/>
    <x v="85"/>
    <x v="17"/>
    <x v="245"/>
    <x v="311"/>
    <x v="140"/>
    <x v="19"/>
    <x v="60"/>
    <x v="86"/>
    <x v="0"/>
  </r>
  <r>
    <x v="0"/>
    <x v="49"/>
    <x v="49"/>
    <x v="86"/>
    <x v="86"/>
    <x v="86"/>
    <x v="17"/>
    <x v="245"/>
    <x v="311"/>
    <x v="162"/>
    <x v="236"/>
    <x v="44"/>
    <x v="191"/>
    <x v="0"/>
  </r>
  <r>
    <x v="0"/>
    <x v="49"/>
    <x v="49"/>
    <x v="87"/>
    <x v="87"/>
    <x v="87"/>
    <x v="17"/>
    <x v="245"/>
    <x v="311"/>
    <x v="162"/>
    <x v="236"/>
    <x v="44"/>
    <x v="191"/>
    <x v="0"/>
  </r>
  <r>
    <x v="0"/>
    <x v="49"/>
    <x v="49"/>
    <x v="88"/>
    <x v="88"/>
    <x v="88"/>
    <x v="17"/>
    <x v="245"/>
    <x v="311"/>
    <x v="162"/>
    <x v="236"/>
    <x v="44"/>
    <x v="191"/>
    <x v="0"/>
  </r>
  <r>
    <x v="0"/>
    <x v="49"/>
    <x v="49"/>
    <x v="42"/>
    <x v="42"/>
    <x v="42"/>
    <x v="17"/>
    <x v="245"/>
    <x v="311"/>
    <x v="162"/>
    <x v="236"/>
    <x v="44"/>
    <x v="191"/>
    <x v="0"/>
  </r>
  <r>
    <x v="0"/>
    <x v="49"/>
    <x v="49"/>
    <x v="30"/>
    <x v="30"/>
    <x v="30"/>
    <x v="17"/>
    <x v="245"/>
    <x v="311"/>
    <x v="162"/>
    <x v="236"/>
    <x v="44"/>
    <x v="191"/>
    <x v="0"/>
  </r>
  <r>
    <x v="0"/>
    <x v="49"/>
    <x v="49"/>
    <x v="19"/>
    <x v="19"/>
    <x v="19"/>
    <x v="17"/>
    <x v="245"/>
    <x v="311"/>
    <x v="162"/>
    <x v="236"/>
    <x v="44"/>
    <x v="191"/>
    <x v="0"/>
  </r>
  <r>
    <x v="0"/>
    <x v="49"/>
    <x v="49"/>
    <x v="89"/>
    <x v="89"/>
    <x v="89"/>
    <x v="17"/>
    <x v="245"/>
    <x v="311"/>
    <x v="140"/>
    <x v="19"/>
    <x v="60"/>
    <x v="86"/>
    <x v="0"/>
  </r>
  <r>
    <x v="0"/>
    <x v="49"/>
    <x v="49"/>
    <x v="54"/>
    <x v="54"/>
    <x v="54"/>
    <x v="17"/>
    <x v="245"/>
    <x v="311"/>
    <x v="162"/>
    <x v="236"/>
    <x v="44"/>
    <x v="191"/>
    <x v="0"/>
  </r>
  <r>
    <x v="0"/>
    <x v="49"/>
    <x v="49"/>
    <x v="58"/>
    <x v="58"/>
    <x v="58"/>
    <x v="17"/>
    <x v="245"/>
    <x v="311"/>
    <x v="140"/>
    <x v="19"/>
    <x v="60"/>
    <x v="86"/>
    <x v="0"/>
  </r>
  <r>
    <x v="0"/>
    <x v="49"/>
    <x v="49"/>
    <x v="8"/>
    <x v="8"/>
    <x v="8"/>
    <x v="17"/>
    <x v="245"/>
    <x v="311"/>
    <x v="140"/>
    <x v="19"/>
    <x v="60"/>
    <x v="86"/>
    <x v="0"/>
  </r>
  <r>
    <x v="0"/>
    <x v="49"/>
    <x v="49"/>
    <x v="90"/>
    <x v="90"/>
    <x v="90"/>
    <x v="17"/>
    <x v="245"/>
    <x v="311"/>
    <x v="162"/>
    <x v="236"/>
    <x v="44"/>
    <x v="191"/>
    <x v="0"/>
  </r>
  <r>
    <x v="0"/>
    <x v="49"/>
    <x v="49"/>
    <x v="12"/>
    <x v="12"/>
    <x v="12"/>
    <x v="17"/>
    <x v="245"/>
    <x v="311"/>
    <x v="162"/>
    <x v="236"/>
    <x v="44"/>
    <x v="191"/>
    <x v="0"/>
  </r>
  <r>
    <x v="0"/>
    <x v="49"/>
    <x v="49"/>
    <x v="13"/>
    <x v="13"/>
    <x v="13"/>
    <x v="17"/>
    <x v="245"/>
    <x v="311"/>
    <x v="162"/>
    <x v="236"/>
    <x v="44"/>
    <x v="191"/>
    <x v="0"/>
  </r>
  <r>
    <x v="0"/>
    <x v="49"/>
    <x v="49"/>
    <x v="1"/>
    <x v="1"/>
    <x v="1"/>
    <x v="17"/>
    <x v="245"/>
    <x v="311"/>
    <x v="140"/>
    <x v="19"/>
    <x v="60"/>
    <x v="86"/>
    <x v="0"/>
  </r>
  <r>
    <x v="0"/>
    <x v="49"/>
    <x v="49"/>
    <x v="91"/>
    <x v="91"/>
    <x v="91"/>
    <x v="17"/>
    <x v="245"/>
    <x v="311"/>
    <x v="162"/>
    <x v="236"/>
    <x v="44"/>
    <x v="191"/>
    <x v="0"/>
  </r>
  <r>
    <x v="0"/>
    <x v="49"/>
    <x v="49"/>
    <x v="76"/>
    <x v="76"/>
    <x v="76"/>
    <x v="17"/>
    <x v="245"/>
    <x v="311"/>
    <x v="77"/>
    <x v="487"/>
    <x v="42"/>
    <x v="42"/>
    <x v="0"/>
  </r>
  <r>
    <x v="0"/>
    <x v="49"/>
    <x v="49"/>
    <x v="2"/>
    <x v="2"/>
    <x v="2"/>
    <x v="17"/>
    <x v="245"/>
    <x v="311"/>
    <x v="140"/>
    <x v="19"/>
    <x v="60"/>
    <x v="86"/>
    <x v="0"/>
  </r>
  <r>
    <x v="0"/>
    <x v="49"/>
    <x v="49"/>
    <x v="92"/>
    <x v="92"/>
    <x v="92"/>
    <x v="17"/>
    <x v="245"/>
    <x v="311"/>
    <x v="140"/>
    <x v="19"/>
    <x v="60"/>
    <x v="86"/>
    <x v="0"/>
  </r>
  <r>
    <x v="0"/>
    <x v="49"/>
    <x v="49"/>
    <x v="4"/>
    <x v="4"/>
    <x v="4"/>
    <x v="17"/>
    <x v="245"/>
    <x v="311"/>
    <x v="77"/>
    <x v="487"/>
    <x v="42"/>
    <x v="42"/>
    <x v="0"/>
  </r>
  <r>
    <x v="0"/>
    <x v="49"/>
    <x v="49"/>
    <x v="29"/>
    <x v="29"/>
    <x v="29"/>
    <x v="17"/>
    <x v="245"/>
    <x v="311"/>
    <x v="77"/>
    <x v="487"/>
    <x v="42"/>
    <x v="42"/>
    <x v="0"/>
  </r>
  <r>
    <x v="0"/>
    <x v="49"/>
    <x v="49"/>
    <x v="50"/>
    <x v="50"/>
    <x v="50"/>
    <x v="17"/>
    <x v="245"/>
    <x v="311"/>
    <x v="162"/>
    <x v="236"/>
    <x v="60"/>
    <x v="86"/>
    <x v="0"/>
  </r>
  <r>
    <x v="0"/>
    <x v="49"/>
    <x v="49"/>
    <x v="93"/>
    <x v="93"/>
    <x v="93"/>
    <x v="17"/>
    <x v="245"/>
    <x v="311"/>
    <x v="77"/>
    <x v="487"/>
    <x v="42"/>
    <x v="42"/>
    <x v="0"/>
  </r>
  <r>
    <x v="0"/>
    <x v="49"/>
    <x v="49"/>
    <x v="34"/>
    <x v="34"/>
    <x v="34"/>
    <x v="17"/>
    <x v="245"/>
    <x v="311"/>
    <x v="162"/>
    <x v="236"/>
    <x v="44"/>
    <x v="191"/>
    <x v="0"/>
  </r>
  <r>
    <x v="0"/>
    <x v="50"/>
    <x v="50"/>
    <x v="1"/>
    <x v="1"/>
    <x v="1"/>
    <x v="0"/>
    <x v="202"/>
    <x v="82"/>
    <x v="49"/>
    <x v="447"/>
    <x v="22"/>
    <x v="367"/>
    <x v="0"/>
  </r>
  <r>
    <x v="0"/>
    <x v="50"/>
    <x v="50"/>
    <x v="10"/>
    <x v="10"/>
    <x v="10"/>
    <x v="1"/>
    <x v="73"/>
    <x v="206"/>
    <x v="55"/>
    <x v="343"/>
    <x v="53"/>
    <x v="317"/>
    <x v="0"/>
  </r>
  <r>
    <x v="0"/>
    <x v="50"/>
    <x v="50"/>
    <x v="0"/>
    <x v="0"/>
    <x v="0"/>
    <x v="2"/>
    <x v="74"/>
    <x v="312"/>
    <x v="147"/>
    <x v="488"/>
    <x v="51"/>
    <x v="24"/>
    <x v="0"/>
  </r>
  <r>
    <x v="0"/>
    <x v="50"/>
    <x v="50"/>
    <x v="19"/>
    <x v="19"/>
    <x v="19"/>
    <x v="3"/>
    <x v="66"/>
    <x v="252"/>
    <x v="67"/>
    <x v="333"/>
    <x v="23"/>
    <x v="73"/>
    <x v="0"/>
  </r>
  <r>
    <x v="0"/>
    <x v="50"/>
    <x v="50"/>
    <x v="21"/>
    <x v="21"/>
    <x v="21"/>
    <x v="4"/>
    <x v="76"/>
    <x v="208"/>
    <x v="59"/>
    <x v="268"/>
    <x v="56"/>
    <x v="368"/>
    <x v="0"/>
  </r>
  <r>
    <x v="0"/>
    <x v="50"/>
    <x v="50"/>
    <x v="14"/>
    <x v="14"/>
    <x v="14"/>
    <x v="5"/>
    <x v="77"/>
    <x v="183"/>
    <x v="140"/>
    <x v="33"/>
    <x v="56"/>
    <x v="368"/>
    <x v="0"/>
  </r>
  <r>
    <x v="0"/>
    <x v="50"/>
    <x v="50"/>
    <x v="31"/>
    <x v="31"/>
    <x v="31"/>
    <x v="5"/>
    <x v="77"/>
    <x v="183"/>
    <x v="77"/>
    <x v="114"/>
    <x v="67"/>
    <x v="275"/>
    <x v="0"/>
  </r>
  <r>
    <x v="0"/>
    <x v="50"/>
    <x v="50"/>
    <x v="4"/>
    <x v="4"/>
    <x v="4"/>
    <x v="5"/>
    <x v="77"/>
    <x v="183"/>
    <x v="73"/>
    <x v="152"/>
    <x v="42"/>
    <x v="42"/>
    <x v="0"/>
  </r>
  <r>
    <x v="0"/>
    <x v="50"/>
    <x v="50"/>
    <x v="6"/>
    <x v="6"/>
    <x v="6"/>
    <x v="5"/>
    <x v="77"/>
    <x v="183"/>
    <x v="62"/>
    <x v="489"/>
    <x v="51"/>
    <x v="24"/>
    <x v="0"/>
  </r>
  <r>
    <x v="0"/>
    <x v="50"/>
    <x v="50"/>
    <x v="18"/>
    <x v="18"/>
    <x v="18"/>
    <x v="9"/>
    <x v="78"/>
    <x v="56"/>
    <x v="68"/>
    <x v="280"/>
    <x v="64"/>
    <x v="202"/>
    <x v="0"/>
  </r>
  <r>
    <x v="0"/>
    <x v="50"/>
    <x v="50"/>
    <x v="12"/>
    <x v="12"/>
    <x v="12"/>
    <x v="10"/>
    <x v="229"/>
    <x v="139"/>
    <x v="47"/>
    <x v="144"/>
    <x v="52"/>
    <x v="369"/>
    <x v="0"/>
  </r>
  <r>
    <x v="0"/>
    <x v="50"/>
    <x v="50"/>
    <x v="13"/>
    <x v="13"/>
    <x v="13"/>
    <x v="10"/>
    <x v="229"/>
    <x v="139"/>
    <x v="162"/>
    <x v="236"/>
    <x v="40"/>
    <x v="231"/>
    <x v="0"/>
  </r>
  <r>
    <x v="0"/>
    <x v="50"/>
    <x v="50"/>
    <x v="9"/>
    <x v="9"/>
    <x v="9"/>
    <x v="10"/>
    <x v="229"/>
    <x v="139"/>
    <x v="66"/>
    <x v="490"/>
    <x v="51"/>
    <x v="24"/>
    <x v="0"/>
  </r>
  <r>
    <x v="0"/>
    <x v="50"/>
    <x v="50"/>
    <x v="7"/>
    <x v="7"/>
    <x v="7"/>
    <x v="13"/>
    <x v="230"/>
    <x v="185"/>
    <x v="140"/>
    <x v="33"/>
    <x v="76"/>
    <x v="314"/>
    <x v="0"/>
  </r>
  <r>
    <x v="0"/>
    <x v="50"/>
    <x v="50"/>
    <x v="8"/>
    <x v="8"/>
    <x v="8"/>
    <x v="13"/>
    <x v="230"/>
    <x v="185"/>
    <x v="77"/>
    <x v="114"/>
    <x v="48"/>
    <x v="162"/>
    <x v="0"/>
  </r>
  <r>
    <x v="0"/>
    <x v="50"/>
    <x v="50"/>
    <x v="2"/>
    <x v="2"/>
    <x v="2"/>
    <x v="15"/>
    <x v="236"/>
    <x v="164"/>
    <x v="55"/>
    <x v="343"/>
    <x v="42"/>
    <x v="42"/>
    <x v="0"/>
  </r>
  <r>
    <x v="0"/>
    <x v="50"/>
    <x v="50"/>
    <x v="28"/>
    <x v="28"/>
    <x v="28"/>
    <x v="15"/>
    <x v="236"/>
    <x v="164"/>
    <x v="68"/>
    <x v="280"/>
    <x v="45"/>
    <x v="167"/>
    <x v="0"/>
  </r>
  <r>
    <x v="0"/>
    <x v="50"/>
    <x v="50"/>
    <x v="5"/>
    <x v="5"/>
    <x v="5"/>
    <x v="17"/>
    <x v="237"/>
    <x v="75"/>
    <x v="80"/>
    <x v="73"/>
    <x v="44"/>
    <x v="174"/>
    <x v="0"/>
  </r>
  <r>
    <x v="0"/>
    <x v="50"/>
    <x v="50"/>
    <x v="68"/>
    <x v="68"/>
    <x v="68"/>
    <x v="17"/>
    <x v="237"/>
    <x v="75"/>
    <x v="68"/>
    <x v="280"/>
    <x v="55"/>
    <x v="70"/>
    <x v="0"/>
  </r>
  <r>
    <x v="0"/>
    <x v="50"/>
    <x v="50"/>
    <x v="48"/>
    <x v="48"/>
    <x v="48"/>
    <x v="19"/>
    <x v="233"/>
    <x v="34"/>
    <x v="140"/>
    <x v="33"/>
    <x v="57"/>
    <x v="52"/>
    <x v="0"/>
  </r>
  <r>
    <x v="0"/>
    <x v="50"/>
    <x v="50"/>
    <x v="17"/>
    <x v="17"/>
    <x v="17"/>
    <x v="19"/>
    <x v="233"/>
    <x v="34"/>
    <x v="162"/>
    <x v="236"/>
    <x v="64"/>
    <x v="202"/>
    <x v="0"/>
  </r>
  <r>
    <x v="0"/>
    <x v="50"/>
    <x v="50"/>
    <x v="70"/>
    <x v="70"/>
    <x v="70"/>
    <x v="19"/>
    <x v="233"/>
    <x v="34"/>
    <x v="162"/>
    <x v="236"/>
    <x v="64"/>
    <x v="202"/>
    <x v="0"/>
  </r>
  <r>
    <x v="0"/>
    <x v="50"/>
    <x v="50"/>
    <x v="37"/>
    <x v="37"/>
    <x v="37"/>
    <x v="19"/>
    <x v="233"/>
    <x v="34"/>
    <x v="162"/>
    <x v="236"/>
    <x v="64"/>
    <x v="202"/>
    <x v="0"/>
  </r>
  <r>
    <x v="0"/>
    <x v="50"/>
    <x v="50"/>
    <x v="39"/>
    <x v="39"/>
    <x v="39"/>
    <x v="19"/>
    <x v="233"/>
    <x v="34"/>
    <x v="140"/>
    <x v="33"/>
    <x v="57"/>
    <x v="52"/>
    <x v="0"/>
  </r>
  <r>
    <x v="0"/>
    <x v="50"/>
    <x v="50"/>
    <x v="89"/>
    <x v="89"/>
    <x v="89"/>
    <x v="19"/>
    <x v="233"/>
    <x v="34"/>
    <x v="162"/>
    <x v="236"/>
    <x v="64"/>
    <x v="202"/>
    <x v="0"/>
  </r>
  <r>
    <x v="0"/>
    <x v="50"/>
    <x v="50"/>
    <x v="16"/>
    <x v="16"/>
    <x v="16"/>
    <x v="19"/>
    <x v="233"/>
    <x v="34"/>
    <x v="162"/>
    <x v="236"/>
    <x v="64"/>
    <x v="202"/>
    <x v="0"/>
  </r>
  <r>
    <x v="0"/>
    <x v="51"/>
    <x v="51"/>
    <x v="3"/>
    <x v="3"/>
    <x v="3"/>
    <x v="0"/>
    <x v="73"/>
    <x v="313"/>
    <x v="56"/>
    <x v="491"/>
    <x v="44"/>
    <x v="129"/>
    <x v="0"/>
  </r>
  <r>
    <x v="0"/>
    <x v="51"/>
    <x v="51"/>
    <x v="7"/>
    <x v="7"/>
    <x v="7"/>
    <x v="1"/>
    <x v="223"/>
    <x v="314"/>
    <x v="49"/>
    <x v="369"/>
    <x v="53"/>
    <x v="370"/>
    <x v="0"/>
  </r>
  <r>
    <x v="0"/>
    <x v="51"/>
    <x v="51"/>
    <x v="0"/>
    <x v="0"/>
    <x v="0"/>
    <x v="2"/>
    <x v="224"/>
    <x v="315"/>
    <x v="78"/>
    <x v="492"/>
    <x v="42"/>
    <x v="42"/>
    <x v="0"/>
  </r>
  <r>
    <x v="0"/>
    <x v="51"/>
    <x v="51"/>
    <x v="4"/>
    <x v="4"/>
    <x v="4"/>
    <x v="3"/>
    <x v="229"/>
    <x v="316"/>
    <x v="62"/>
    <x v="448"/>
    <x v="42"/>
    <x v="42"/>
    <x v="0"/>
  </r>
  <r>
    <x v="0"/>
    <x v="51"/>
    <x v="51"/>
    <x v="2"/>
    <x v="2"/>
    <x v="2"/>
    <x v="4"/>
    <x v="236"/>
    <x v="317"/>
    <x v="55"/>
    <x v="39"/>
    <x v="42"/>
    <x v="42"/>
    <x v="0"/>
  </r>
  <r>
    <x v="0"/>
    <x v="51"/>
    <x v="51"/>
    <x v="1"/>
    <x v="1"/>
    <x v="1"/>
    <x v="5"/>
    <x v="237"/>
    <x v="214"/>
    <x v="76"/>
    <x v="317"/>
    <x v="51"/>
    <x v="35"/>
    <x v="0"/>
  </r>
  <r>
    <x v="0"/>
    <x v="51"/>
    <x v="51"/>
    <x v="21"/>
    <x v="21"/>
    <x v="21"/>
    <x v="6"/>
    <x v="233"/>
    <x v="118"/>
    <x v="77"/>
    <x v="451"/>
    <x v="59"/>
    <x v="371"/>
    <x v="0"/>
  </r>
  <r>
    <x v="0"/>
    <x v="51"/>
    <x v="51"/>
    <x v="10"/>
    <x v="10"/>
    <x v="10"/>
    <x v="6"/>
    <x v="233"/>
    <x v="118"/>
    <x v="76"/>
    <x v="317"/>
    <x v="51"/>
    <x v="35"/>
    <x v="0"/>
  </r>
  <r>
    <x v="0"/>
    <x v="51"/>
    <x v="51"/>
    <x v="8"/>
    <x v="8"/>
    <x v="8"/>
    <x v="8"/>
    <x v="235"/>
    <x v="137"/>
    <x v="49"/>
    <x v="369"/>
    <x v="58"/>
    <x v="372"/>
    <x v="0"/>
  </r>
  <r>
    <x v="0"/>
    <x v="51"/>
    <x v="51"/>
    <x v="17"/>
    <x v="17"/>
    <x v="17"/>
    <x v="9"/>
    <x v="239"/>
    <x v="51"/>
    <x v="49"/>
    <x v="369"/>
    <x v="51"/>
    <x v="35"/>
    <x v="0"/>
  </r>
  <r>
    <x v="0"/>
    <x v="51"/>
    <x v="51"/>
    <x v="5"/>
    <x v="5"/>
    <x v="5"/>
    <x v="10"/>
    <x v="240"/>
    <x v="24"/>
    <x v="68"/>
    <x v="140"/>
    <x v="60"/>
    <x v="143"/>
    <x v="0"/>
  </r>
  <r>
    <x v="0"/>
    <x v="51"/>
    <x v="51"/>
    <x v="33"/>
    <x v="33"/>
    <x v="33"/>
    <x v="11"/>
    <x v="241"/>
    <x v="71"/>
    <x v="77"/>
    <x v="451"/>
    <x v="58"/>
    <x v="372"/>
    <x v="0"/>
  </r>
  <r>
    <x v="0"/>
    <x v="51"/>
    <x v="51"/>
    <x v="12"/>
    <x v="12"/>
    <x v="12"/>
    <x v="11"/>
    <x v="241"/>
    <x v="71"/>
    <x v="49"/>
    <x v="369"/>
    <x v="60"/>
    <x v="143"/>
    <x v="0"/>
  </r>
  <r>
    <x v="0"/>
    <x v="51"/>
    <x v="51"/>
    <x v="50"/>
    <x v="50"/>
    <x v="50"/>
    <x v="11"/>
    <x v="241"/>
    <x v="71"/>
    <x v="162"/>
    <x v="236"/>
    <x v="55"/>
    <x v="373"/>
    <x v="0"/>
  </r>
  <r>
    <x v="0"/>
    <x v="51"/>
    <x v="51"/>
    <x v="18"/>
    <x v="18"/>
    <x v="18"/>
    <x v="11"/>
    <x v="241"/>
    <x v="71"/>
    <x v="49"/>
    <x v="369"/>
    <x v="60"/>
    <x v="143"/>
    <x v="0"/>
  </r>
  <r>
    <x v="0"/>
    <x v="51"/>
    <x v="51"/>
    <x v="14"/>
    <x v="14"/>
    <x v="14"/>
    <x v="15"/>
    <x v="242"/>
    <x v="31"/>
    <x v="162"/>
    <x v="236"/>
    <x v="46"/>
    <x v="374"/>
    <x v="0"/>
  </r>
  <r>
    <x v="0"/>
    <x v="51"/>
    <x v="51"/>
    <x v="90"/>
    <x v="90"/>
    <x v="90"/>
    <x v="15"/>
    <x v="242"/>
    <x v="31"/>
    <x v="49"/>
    <x v="369"/>
    <x v="42"/>
    <x v="42"/>
    <x v="0"/>
  </r>
  <r>
    <x v="0"/>
    <x v="51"/>
    <x v="51"/>
    <x v="75"/>
    <x v="75"/>
    <x v="75"/>
    <x v="17"/>
    <x v="243"/>
    <x v="91"/>
    <x v="59"/>
    <x v="452"/>
    <x v="60"/>
    <x v="143"/>
    <x v="0"/>
  </r>
  <r>
    <x v="0"/>
    <x v="51"/>
    <x v="51"/>
    <x v="27"/>
    <x v="27"/>
    <x v="27"/>
    <x v="17"/>
    <x v="243"/>
    <x v="91"/>
    <x v="59"/>
    <x v="452"/>
    <x v="60"/>
    <x v="143"/>
    <x v="0"/>
  </r>
  <r>
    <x v="0"/>
    <x v="51"/>
    <x v="51"/>
    <x v="23"/>
    <x v="23"/>
    <x v="23"/>
    <x v="17"/>
    <x v="243"/>
    <x v="91"/>
    <x v="67"/>
    <x v="493"/>
    <x v="42"/>
    <x v="42"/>
    <x v="0"/>
  </r>
  <r>
    <x v="0"/>
    <x v="51"/>
    <x v="51"/>
    <x v="11"/>
    <x v="11"/>
    <x v="11"/>
    <x v="17"/>
    <x v="243"/>
    <x v="91"/>
    <x v="67"/>
    <x v="493"/>
    <x v="42"/>
    <x v="42"/>
    <x v="0"/>
  </r>
  <r>
    <x v="0"/>
    <x v="52"/>
    <x v="52"/>
    <x v="7"/>
    <x v="7"/>
    <x v="7"/>
    <x v="0"/>
    <x v="222"/>
    <x v="318"/>
    <x v="68"/>
    <x v="53"/>
    <x v="66"/>
    <x v="375"/>
    <x v="0"/>
  </r>
  <r>
    <x v="0"/>
    <x v="52"/>
    <x v="52"/>
    <x v="0"/>
    <x v="0"/>
    <x v="0"/>
    <x v="1"/>
    <x v="53"/>
    <x v="319"/>
    <x v="63"/>
    <x v="494"/>
    <x v="46"/>
    <x v="65"/>
    <x v="0"/>
  </r>
  <r>
    <x v="0"/>
    <x v="52"/>
    <x v="52"/>
    <x v="1"/>
    <x v="1"/>
    <x v="1"/>
    <x v="2"/>
    <x v="75"/>
    <x v="1"/>
    <x v="66"/>
    <x v="108"/>
    <x v="59"/>
    <x v="376"/>
    <x v="0"/>
  </r>
  <r>
    <x v="0"/>
    <x v="52"/>
    <x v="52"/>
    <x v="4"/>
    <x v="4"/>
    <x v="4"/>
    <x v="3"/>
    <x v="223"/>
    <x v="320"/>
    <x v="53"/>
    <x v="495"/>
    <x v="42"/>
    <x v="42"/>
    <x v="0"/>
  </r>
  <r>
    <x v="0"/>
    <x v="52"/>
    <x v="52"/>
    <x v="18"/>
    <x v="18"/>
    <x v="18"/>
    <x v="3"/>
    <x v="223"/>
    <x v="320"/>
    <x v="78"/>
    <x v="402"/>
    <x v="51"/>
    <x v="19"/>
    <x v="0"/>
  </r>
  <r>
    <x v="0"/>
    <x v="52"/>
    <x v="52"/>
    <x v="10"/>
    <x v="10"/>
    <x v="10"/>
    <x v="5"/>
    <x v="78"/>
    <x v="119"/>
    <x v="96"/>
    <x v="407"/>
    <x v="51"/>
    <x v="19"/>
    <x v="0"/>
  </r>
  <r>
    <x v="0"/>
    <x v="52"/>
    <x v="52"/>
    <x v="9"/>
    <x v="9"/>
    <x v="9"/>
    <x v="6"/>
    <x v="229"/>
    <x v="142"/>
    <x v="96"/>
    <x v="407"/>
    <x v="60"/>
    <x v="377"/>
    <x v="0"/>
  </r>
  <r>
    <x v="0"/>
    <x v="52"/>
    <x v="52"/>
    <x v="6"/>
    <x v="6"/>
    <x v="6"/>
    <x v="7"/>
    <x v="230"/>
    <x v="181"/>
    <x v="55"/>
    <x v="496"/>
    <x v="60"/>
    <x v="377"/>
    <x v="0"/>
  </r>
  <r>
    <x v="0"/>
    <x v="52"/>
    <x v="52"/>
    <x v="5"/>
    <x v="5"/>
    <x v="5"/>
    <x v="8"/>
    <x v="236"/>
    <x v="5"/>
    <x v="66"/>
    <x v="108"/>
    <x v="60"/>
    <x v="377"/>
    <x v="0"/>
  </r>
  <r>
    <x v="0"/>
    <x v="52"/>
    <x v="52"/>
    <x v="14"/>
    <x v="14"/>
    <x v="14"/>
    <x v="9"/>
    <x v="237"/>
    <x v="277"/>
    <x v="77"/>
    <x v="114"/>
    <x v="57"/>
    <x v="378"/>
    <x v="0"/>
  </r>
  <r>
    <x v="0"/>
    <x v="52"/>
    <x v="52"/>
    <x v="17"/>
    <x v="17"/>
    <x v="17"/>
    <x v="9"/>
    <x v="237"/>
    <x v="277"/>
    <x v="67"/>
    <x v="107"/>
    <x v="52"/>
    <x v="351"/>
    <x v="0"/>
  </r>
  <r>
    <x v="0"/>
    <x v="52"/>
    <x v="52"/>
    <x v="2"/>
    <x v="2"/>
    <x v="2"/>
    <x v="11"/>
    <x v="233"/>
    <x v="201"/>
    <x v="97"/>
    <x v="497"/>
    <x v="42"/>
    <x v="42"/>
    <x v="0"/>
  </r>
  <r>
    <x v="0"/>
    <x v="52"/>
    <x v="52"/>
    <x v="21"/>
    <x v="21"/>
    <x v="21"/>
    <x v="12"/>
    <x v="234"/>
    <x v="145"/>
    <x v="140"/>
    <x v="386"/>
    <x v="59"/>
    <x v="376"/>
    <x v="0"/>
  </r>
  <r>
    <x v="0"/>
    <x v="52"/>
    <x v="52"/>
    <x v="12"/>
    <x v="12"/>
    <x v="12"/>
    <x v="12"/>
    <x v="234"/>
    <x v="145"/>
    <x v="76"/>
    <x v="498"/>
    <x v="44"/>
    <x v="217"/>
    <x v="0"/>
  </r>
  <r>
    <x v="0"/>
    <x v="52"/>
    <x v="52"/>
    <x v="3"/>
    <x v="3"/>
    <x v="3"/>
    <x v="12"/>
    <x v="234"/>
    <x v="145"/>
    <x v="80"/>
    <x v="401"/>
    <x v="42"/>
    <x v="42"/>
    <x v="0"/>
  </r>
  <r>
    <x v="0"/>
    <x v="52"/>
    <x v="52"/>
    <x v="11"/>
    <x v="11"/>
    <x v="11"/>
    <x v="15"/>
    <x v="239"/>
    <x v="131"/>
    <x v="47"/>
    <x v="499"/>
    <x v="60"/>
    <x v="377"/>
    <x v="0"/>
  </r>
  <r>
    <x v="0"/>
    <x v="52"/>
    <x v="52"/>
    <x v="33"/>
    <x v="33"/>
    <x v="33"/>
    <x v="16"/>
    <x v="240"/>
    <x v="15"/>
    <x v="59"/>
    <x v="500"/>
    <x v="58"/>
    <x v="296"/>
    <x v="0"/>
  </r>
  <r>
    <x v="0"/>
    <x v="52"/>
    <x v="52"/>
    <x v="54"/>
    <x v="54"/>
    <x v="54"/>
    <x v="16"/>
    <x v="240"/>
    <x v="15"/>
    <x v="49"/>
    <x v="318"/>
    <x v="44"/>
    <x v="217"/>
    <x v="0"/>
  </r>
  <r>
    <x v="0"/>
    <x v="52"/>
    <x v="52"/>
    <x v="27"/>
    <x v="27"/>
    <x v="27"/>
    <x v="18"/>
    <x v="241"/>
    <x v="321"/>
    <x v="59"/>
    <x v="500"/>
    <x v="51"/>
    <x v="19"/>
    <x v="0"/>
  </r>
  <r>
    <x v="0"/>
    <x v="52"/>
    <x v="52"/>
    <x v="8"/>
    <x v="8"/>
    <x v="8"/>
    <x v="18"/>
    <x v="241"/>
    <x v="321"/>
    <x v="77"/>
    <x v="114"/>
    <x v="58"/>
    <x v="296"/>
    <x v="0"/>
  </r>
  <r>
    <x v="0"/>
    <x v="52"/>
    <x v="52"/>
    <x v="66"/>
    <x v="66"/>
    <x v="66"/>
    <x v="18"/>
    <x v="241"/>
    <x v="321"/>
    <x v="49"/>
    <x v="318"/>
    <x v="60"/>
    <x v="377"/>
    <x v="0"/>
  </r>
  <r>
    <x v="0"/>
    <x v="53"/>
    <x v="53"/>
    <x v="0"/>
    <x v="0"/>
    <x v="0"/>
    <x v="0"/>
    <x v="52"/>
    <x v="322"/>
    <x v="126"/>
    <x v="501"/>
    <x v="51"/>
    <x v="167"/>
    <x v="0"/>
  </r>
  <r>
    <x v="0"/>
    <x v="53"/>
    <x v="53"/>
    <x v="4"/>
    <x v="4"/>
    <x v="4"/>
    <x v="1"/>
    <x v="223"/>
    <x v="323"/>
    <x v="73"/>
    <x v="502"/>
    <x v="60"/>
    <x v="115"/>
    <x v="0"/>
  </r>
  <r>
    <x v="0"/>
    <x v="53"/>
    <x v="53"/>
    <x v="7"/>
    <x v="7"/>
    <x v="7"/>
    <x v="2"/>
    <x v="77"/>
    <x v="117"/>
    <x v="77"/>
    <x v="234"/>
    <x v="67"/>
    <x v="234"/>
    <x v="0"/>
  </r>
  <r>
    <x v="0"/>
    <x v="53"/>
    <x v="53"/>
    <x v="9"/>
    <x v="9"/>
    <x v="9"/>
    <x v="3"/>
    <x v="224"/>
    <x v="324"/>
    <x v="62"/>
    <x v="203"/>
    <x v="60"/>
    <x v="115"/>
    <x v="0"/>
  </r>
  <r>
    <x v="0"/>
    <x v="53"/>
    <x v="53"/>
    <x v="21"/>
    <x v="21"/>
    <x v="21"/>
    <x v="4"/>
    <x v="229"/>
    <x v="223"/>
    <x v="49"/>
    <x v="35"/>
    <x v="57"/>
    <x v="379"/>
    <x v="0"/>
  </r>
  <r>
    <x v="0"/>
    <x v="53"/>
    <x v="53"/>
    <x v="17"/>
    <x v="17"/>
    <x v="17"/>
    <x v="5"/>
    <x v="230"/>
    <x v="252"/>
    <x v="49"/>
    <x v="35"/>
    <x v="59"/>
    <x v="351"/>
    <x v="0"/>
  </r>
  <r>
    <x v="0"/>
    <x v="53"/>
    <x v="53"/>
    <x v="8"/>
    <x v="8"/>
    <x v="8"/>
    <x v="5"/>
    <x v="230"/>
    <x v="252"/>
    <x v="47"/>
    <x v="11"/>
    <x v="45"/>
    <x v="81"/>
    <x v="0"/>
  </r>
  <r>
    <x v="0"/>
    <x v="53"/>
    <x v="53"/>
    <x v="32"/>
    <x v="32"/>
    <x v="32"/>
    <x v="7"/>
    <x v="233"/>
    <x v="183"/>
    <x v="59"/>
    <x v="174"/>
    <x v="52"/>
    <x v="158"/>
    <x v="0"/>
  </r>
  <r>
    <x v="0"/>
    <x v="53"/>
    <x v="53"/>
    <x v="10"/>
    <x v="10"/>
    <x v="10"/>
    <x v="7"/>
    <x v="233"/>
    <x v="183"/>
    <x v="47"/>
    <x v="11"/>
    <x v="58"/>
    <x v="235"/>
    <x v="0"/>
  </r>
  <r>
    <x v="0"/>
    <x v="53"/>
    <x v="53"/>
    <x v="2"/>
    <x v="2"/>
    <x v="2"/>
    <x v="7"/>
    <x v="233"/>
    <x v="183"/>
    <x v="97"/>
    <x v="317"/>
    <x v="42"/>
    <x v="42"/>
    <x v="0"/>
  </r>
  <r>
    <x v="0"/>
    <x v="53"/>
    <x v="53"/>
    <x v="18"/>
    <x v="18"/>
    <x v="18"/>
    <x v="7"/>
    <x v="233"/>
    <x v="183"/>
    <x v="76"/>
    <x v="31"/>
    <x v="51"/>
    <x v="167"/>
    <x v="0"/>
  </r>
  <r>
    <x v="0"/>
    <x v="53"/>
    <x v="53"/>
    <x v="11"/>
    <x v="11"/>
    <x v="11"/>
    <x v="11"/>
    <x v="234"/>
    <x v="111"/>
    <x v="76"/>
    <x v="31"/>
    <x v="44"/>
    <x v="113"/>
    <x v="0"/>
  </r>
  <r>
    <x v="0"/>
    <x v="53"/>
    <x v="53"/>
    <x v="14"/>
    <x v="14"/>
    <x v="14"/>
    <x v="12"/>
    <x v="235"/>
    <x v="192"/>
    <x v="59"/>
    <x v="174"/>
    <x v="55"/>
    <x v="348"/>
    <x v="0"/>
  </r>
  <r>
    <x v="0"/>
    <x v="53"/>
    <x v="53"/>
    <x v="49"/>
    <x v="49"/>
    <x v="49"/>
    <x v="12"/>
    <x v="235"/>
    <x v="192"/>
    <x v="77"/>
    <x v="234"/>
    <x v="45"/>
    <x v="81"/>
    <x v="0"/>
  </r>
  <r>
    <x v="0"/>
    <x v="53"/>
    <x v="53"/>
    <x v="1"/>
    <x v="1"/>
    <x v="1"/>
    <x v="12"/>
    <x v="235"/>
    <x v="192"/>
    <x v="140"/>
    <x v="33"/>
    <x v="52"/>
    <x v="158"/>
    <x v="0"/>
  </r>
  <r>
    <x v="0"/>
    <x v="53"/>
    <x v="53"/>
    <x v="5"/>
    <x v="5"/>
    <x v="5"/>
    <x v="12"/>
    <x v="235"/>
    <x v="192"/>
    <x v="76"/>
    <x v="31"/>
    <x v="60"/>
    <x v="115"/>
    <x v="0"/>
  </r>
  <r>
    <x v="0"/>
    <x v="53"/>
    <x v="53"/>
    <x v="75"/>
    <x v="75"/>
    <x v="75"/>
    <x v="16"/>
    <x v="239"/>
    <x v="224"/>
    <x v="162"/>
    <x v="236"/>
    <x v="52"/>
    <x v="158"/>
    <x v="0"/>
  </r>
  <r>
    <x v="0"/>
    <x v="53"/>
    <x v="53"/>
    <x v="3"/>
    <x v="3"/>
    <x v="3"/>
    <x v="16"/>
    <x v="239"/>
    <x v="224"/>
    <x v="76"/>
    <x v="31"/>
    <x v="42"/>
    <x v="42"/>
    <x v="0"/>
  </r>
  <r>
    <x v="0"/>
    <x v="53"/>
    <x v="53"/>
    <x v="66"/>
    <x v="66"/>
    <x v="66"/>
    <x v="16"/>
    <x v="239"/>
    <x v="224"/>
    <x v="49"/>
    <x v="35"/>
    <x v="51"/>
    <x v="167"/>
    <x v="0"/>
  </r>
  <r>
    <x v="0"/>
    <x v="53"/>
    <x v="53"/>
    <x v="6"/>
    <x v="6"/>
    <x v="6"/>
    <x v="16"/>
    <x v="239"/>
    <x v="224"/>
    <x v="47"/>
    <x v="11"/>
    <x v="60"/>
    <x v="115"/>
    <x v="0"/>
  </r>
  <r>
    <x v="0"/>
    <x v="54"/>
    <x v="54"/>
    <x v="18"/>
    <x v="18"/>
    <x v="18"/>
    <x v="0"/>
    <x v="63"/>
    <x v="325"/>
    <x v="74"/>
    <x v="503"/>
    <x v="58"/>
    <x v="221"/>
    <x v="0"/>
  </r>
  <r>
    <x v="0"/>
    <x v="54"/>
    <x v="54"/>
    <x v="7"/>
    <x v="7"/>
    <x v="7"/>
    <x v="1"/>
    <x v="64"/>
    <x v="326"/>
    <x v="59"/>
    <x v="174"/>
    <x v="43"/>
    <x v="380"/>
    <x v="0"/>
  </r>
  <r>
    <x v="0"/>
    <x v="54"/>
    <x v="54"/>
    <x v="0"/>
    <x v="0"/>
    <x v="0"/>
    <x v="2"/>
    <x v="65"/>
    <x v="103"/>
    <x v="147"/>
    <x v="504"/>
    <x v="60"/>
    <x v="208"/>
    <x v="0"/>
  </r>
  <r>
    <x v="0"/>
    <x v="54"/>
    <x v="54"/>
    <x v="3"/>
    <x v="3"/>
    <x v="3"/>
    <x v="3"/>
    <x v="223"/>
    <x v="327"/>
    <x v="53"/>
    <x v="505"/>
    <x v="42"/>
    <x v="42"/>
    <x v="0"/>
  </r>
  <r>
    <x v="0"/>
    <x v="54"/>
    <x v="54"/>
    <x v="10"/>
    <x v="10"/>
    <x v="10"/>
    <x v="4"/>
    <x v="78"/>
    <x v="328"/>
    <x v="66"/>
    <x v="475"/>
    <x v="46"/>
    <x v="16"/>
    <x v="0"/>
  </r>
  <r>
    <x v="0"/>
    <x v="54"/>
    <x v="54"/>
    <x v="6"/>
    <x v="6"/>
    <x v="6"/>
    <x v="5"/>
    <x v="236"/>
    <x v="276"/>
    <x v="97"/>
    <x v="133"/>
    <x v="44"/>
    <x v="224"/>
    <x v="0"/>
  </r>
  <r>
    <x v="0"/>
    <x v="54"/>
    <x v="54"/>
    <x v="5"/>
    <x v="5"/>
    <x v="5"/>
    <x v="6"/>
    <x v="237"/>
    <x v="6"/>
    <x v="97"/>
    <x v="133"/>
    <x v="60"/>
    <x v="208"/>
    <x v="0"/>
  </r>
  <r>
    <x v="0"/>
    <x v="54"/>
    <x v="54"/>
    <x v="4"/>
    <x v="4"/>
    <x v="4"/>
    <x v="6"/>
    <x v="237"/>
    <x v="6"/>
    <x v="97"/>
    <x v="133"/>
    <x v="60"/>
    <x v="208"/>
    <x v="0"/>
  </r>
  <r>
    <x v="0"/>
    <x v="54"/>
    <x v="54"/>
    <x v="14"/>
    <x v="14"/>
    <x v="14"/>
    <x v="8"/>
    <x v="234"/>
    <x v="245"/>
    <x v="77"/>
    <x v="506"/>
    <x v="52"/>
    <x v="171"/>
    <x v="0"/>
  </r>
  <r>
    <x v="0"/>
    <x v="54"/>
    <x v="54"/>
    <x v="1"/>
    <x v="1"/>
    <x v="1"/>
    <x v="8"/>
    <x v="234"/>
    <x v="245"/>
    <x v="47"/>
    <x v="143"/>
    <x v="51"/>
    <x v="36"/>
    <x v="0"/>
  </r>
  <r>
    <x v="0"/>
    <x v="54"/>
    <x v="54"/>
    <x v="22"/>
    <x v="22"/>
    <x v="22"/>
    <x v="8"/>
    <x v="234"/>
    <x v="245"/>
    <x v="50"/>
    <x v="507"/>
    <x v="60"/>
    <x v="208"/>
    <x v="0"/>
  </r>
  <r>
    <x v="0"/>
    <x v="54"/>
    <x v="54"/>
    <x v="49"/>
    <x v="49"/>
    <x v="49"/>
    <x v="11"/>
    <x v="235"/>
    <x v="27"/>
    <x v="59"/>
    <x v="174"/>
    <x v="55"/>
    <x v="195"/>
    <x v="0"/>
  </r>
  <r>
    <x v="0"/>
    <x v="54"/>
    <x v="54"/>
    <x v="23"/>
    <x v="23"/>
    <x v="23"/>
    <x v="11"/>
    <x v="235"/>
    <x v="27"/>
    <x v="68"/>
    <x v="266"/>
    <x v="51"/>
    <x v="36"/>
    <x v="0"/>
  </r>
  <r>
    <x v="0"/>
    <x v="54"/>
    <x v="54"/>
    <x v="9"/>
    <x v="9"/>
    <x v="9"/>
    <x v="11"/>
    <x v="235"/>
    <x v="27"/>
    <x v="47"/>
    <x v="143"/>
    <x v="44"/>
    <x v="224"/>
    <x v="0"/>
  </r>
  <r>
    <x v="0"/>
    <x v="54"/>
    <x v="54"/>
    <x v="33"/>
    <x v="33"/>
    <x v="33"/>
    <x v="14"/>
    <x v="239"/>
    <x v="254"/>
    <x v="49"/>
    <x v="173"/>
    <x v="51"/>
    <x v="36"/>
    <x v="0"/>
  </r>
  <r>
    <x v="0"/>
    <x v="54"/>
    <x v="54"/>
    <x v="21"/>
    <x v="21"/>
    <x v="21"/>
    <x v="14"/>
    <x v="239"/>
    <x v="254"/>
    <x v="59"/>
    <x v="174"/>
    <x v="46"/>
    <x v="16"/>
    <x v="0"/>
  </r>
  <r>
    <x v="0"/>
    <x v="54"/>
    <x v="54"/>
    <x v="8"/>
    <x v="8"/>
    <x v="8"/>
    <x v="14"/>
    <x v="239"/>
    <x v="254"/>
    <x v="59"/>
    <x v="174"/>
    <x v="46"/>
    <x v="16"/>
    <x v="0"/>
  </r>
  <r>
    <x v="0"/>
    <x v="54"/>
    <x v="54"/>
    <x v="26"/>
    <x v="26"/>
    <x v="26"/>
    <x v="17"/>
    <x v="240"/>
    <x v="15"/>
    <x v="77"/>
    <x v="506"/>
    <x v="46"/>
    <x v="16"/>
    <x v="0"/>
  </r>
  <r>
    <x v="0"/>
    <x v="54"/>
    <x v="54"/>
    <x v="2"/>
    <x v="2"/>
    <x v="2"/>
    <x v="17"/>
    <x v="240"/>
    <x v="15"/>
    <x v="47"/>
    <x v="143"/>
    <x v="42"/>
    <x v="42"/>
    <x v="0"/>
  </r>
  <r>
    <x v="0"/>
    <x v="54"/>
    <x v="54"/>
    <x v="28"/>
    <x v="28"/>
    <x v="28"/>
    <x v="17"/>
    <x v="240"/>
    <x v="15"/>
    <x v="67"/>
    <x v="508"/>
    <x v="51"/>
    <x v="36"/>
    <x v="0"/>
  </r>
  <r>
    <x v="0"/>
    <x v="55"/>
    <x v="55"/>
    <x v="7"/>
    <x v="7"/>
    <x v="7"/>
    <x v="0"/>
    <x v="229"/>
    <x v="329"/>
    <x v="77"/>
    <x v="374"/>
    <x v="76"/>
    <x v="381"/>
    <x v="0"/>
  </r>
  <r>
    <x v="0"/>
    <x v="55"/>
    <x v="55"/>
    <x v="0"/>
    <x v="0"/>
    <x v="0"/>
    <x v="1"/>
    <x v="234"/>
    <x v="330"/>
    <x v="80"/>
    <x v="509"/>
    <x v="42"/>
    <x v="42"/>
    <x v="0"/>
  </r>
  <r>
    <x v="0"/>
    <x v="55"/>
    <x v="55"/>
    <x v="10"/>
    <x v="10"/>
    <x v="10"/>
    <x v="2"/>
    <x v="241"/>
    <x v="331"/>
    <x v="68"/>
    <x v="510"/>
    <x v="42"/>
    <x v="42"/>
    <x v="0"/>
  </r>
  <r>
    <x v="0"/>
    <x v="55"/>
    <x v="55"/>
    <x v="50"/>
    <x v="50"/>
    <x v="50"/>
    <x v="2"/>
    <x v="241"/>
    <x v="331"/>
    <x v="162"/>
    <x v="236"/>
    <x v="55"/>
    <x v="382"/>
    <x v="0"/>
  </r>
  <r>
    <x v="0"/>
    <x v="55"/>
    <x v="55"/>
    <x v="21"/>
    <x v="21"/>
    <x v="21"/>
    <x v="4"/>
    <x v="242"/>
    <x v="332"/>
    <x v="59"/>
    <x v="216"/>
    <x v="44"/>
    <x v="383"/>
    <x v="0"/>
  </r>
  <r>
    <x v="0"/>
    <x v="55"/>
    <x v="55"/>
    <x v="26"/>
    <x v="26"/>
    <x v="26"/>
    <x v="5"/>
    <x v="243"/>
    <x v="49"/>
    <x v="77"/>
    <x v="374"/>
    <x v="44"/>
    <x v="383"/>
    <x v="0"/>
  </r>
  <r>
    <x v="0"/>
    <x v="55"/>
    <x v="55"/>
    <x v="4"/>
    <x v="4"/>
    <x v="4"/>
    <x v="5"/>
    <x v="243"/>
    <x v="49"/>
    <x v="59"/>
    <x v="216"/>
    <x v="60"/>
    <x v="99"/>
    <x v="0"/>
  </r>
  <r>
    <x v="0"/>
    <x v="55"/>
    <x v="55"/>
    <x v="18"/>
    <x v="18"/>
    <x v="18"/>
    <x v="5"/>
    <x v="243"/>
    <x v="49"/>
    <x v="59"/>
    <x v="216"/>
    <x v="60"/>
    <x v="99"/>
    <x v="0"/>
  </r>
  <r>
    <x v="0"/>
    <x v="55"/>
    <x v="55"/>
    <x v="14"/>
    <x v="14"/>
    <x v="14"/>
    <x v="8"/>
    <x v="244"/>
    <x v="129"/>
    <x v="77"/>
    <x v="374"/>
    <x v="60"/>
    <x v="99"/>
    <x v="0"/>
  </r>
  <r>
    <x v="0"/>
    <x v="55"/>
    <x v="55"/>
    <x v="11"/>
    <x v="11"/>
    <x v="11"/>
    <x v="8"/>
    <x v="244"/>
    <x v="129"/>
    <x v="140"/>
    <x v="324"/>
    <x v="60"/>
    <x v="99"/>
    <x v="1"/>
  </r>
  <r>
    <x v="0"/>
    <x v="55"/>
    <x v="55"/>
    <x v="8"/>
    <x v="8"/>
    <x v="8"/>
    <x v="8"/>
    <x v="244"/>
    <x v="129"/>
    <x v="140"/>
    <x v="324"/>
    <x v="44"/>
    <x v="383"/>
    <x v="0"/>
  </r>
  <r>
    <x v="0"/>
    <x v="55"/>
    <x v="55"/>
    <x v="48"/>
    <x v="48"/>
    <x v="48"/>
    <x v="11"/>
    <x v="245"/>
    <x v="31"/>
    <x v="140"/>
    <x v="324"/>
    <x v="60"/>
    <x v="99"/>
    <x v="0"/>
  </r>
  <r>
    <x v="0"/>
    <x v="55"/>
    <x v="55"/>
    <x v="17"/>
    <x v="17"/>
    <x v="17"/>
    <x v="11"/>
    <x v="245"/>
    <x v="31"/>
    <x v="140"/>
    <x v="324"/>
    <x v="60"/>
    <x v="99"/>
    <x v="0"/>
  </r>
  <r>
    <x v="0"/>
    <x v="55"/>
    <x v="55"/>
    <x v="94"/>
    <x v="94"/>
    <x v="94"/>
    <x v="11"/>
    <x v="245"/>
    <x v="31"/>
    <x v="140"/>
    <x v="324"/>
    <x v="60"/>
    <x v="99"/>
    <x v="0"/>
  </r>
  <r>
    <x v="0"/>
    <x v="55"/>
    <x v="55"/>
    <x v="95"/>
    <x v="95"/>
    <x v="95"/>
    <x v="11"/>
    <x v="245"/>
    <x v="31"/>
    <x v="162"/>
    <x v="236"/>
    <x v="44"/>
    <x v="383"/>
    <x v="0"/>
  </r>
  <r>
    <x v="0"/>
    <x v="55"/>
    <x v="55"/>
    <x v="96"/>
    <x v="96"/>
    <x v="96"/>
    <x v="11"/>
    <x v="245"/>
    <x v="31"/>
    <x v="162"/>
    <x v="236"/>
    <x v="44"/>
    <x v="383"/>
    <x v="0"/>
  </r>
  <r>
    <x v="0"/>
    <x v="55"/>
    <x v="55"/>
    <x v="53"/>
    <x v="53"/>
    <x v="53"/>
    <x v="11"/>
    <x v="245"/>
    <x v="31"/>
    <x v="140"/>
    <x v="324"/>
    <x v="60"/>
    <x v="99"/>
    <x v="0"/>
  </r>
  <r>
    <x v="0"/>
    <x v="55"/>
    <x v="55"/>
    <x v="70"/>
    <x v="70"/>
    <x v="70"/>
    <x v="11"/>
    <x v="245"/>
    <x v="31"/>
    <x v="140"/>
    <x v="324"/>
    <x v="60"/>
    <x v="99"/>
    <x v="0"/>
  </r>
  <r>
    <x v="0"/>
    <x v="55"/>
    <x v="55"/>
    <x v="97"/>
    <x v="97"/>
    <x v="97"/>
    <x v="11"/>
    <x v="245"/>
    <x v="31"/>
    <x v="162"/>
    <x v="236"/>
    <x v="44"/>
    <x v="383"/>
    <x v="0"/>
  </r>
  <r>
    <x v="0"/>
    <x v="55"/>
    <x v="55"/>
    <x v="80"/>
    <x v="80"/>
    <x v="80"/>
    <x v="11"/>
    <x v="245"/>
    <x v="31"/>
    <x v="140"/>
    <x v="324"/>
    <x v="60"/>
    <x v="99"/>
    <x v="0"/>
  </r>
  <r>
    <x v="0"/>
    <x v="55"/>
    <x v="55"/>
    <x v="19"/>
    <x v="19"/>
    <x v="19"/>
    <x v="11"/>
    <x v="245"/>
    <x v="31"/>
    <x v="140"/>
    <x v="324"/>
    <x v="60"/>
    <x v="99"/>
    <x v="0"/>
  </r>
  <r>
    <x v="0"/>
    <x v="55"/>
    <x v="55"/>
    <x v="27"/>
    <x v="27"/>
    <x v="27"/>
    <x v="11"/>
    <x v="245"/>
    <x v="31"/>
    <x v="77"/>
    <x v="374"/>
    <x v="42"/>
    <x v="42"/>
    <x v="0"/>
  </r>
  <r>
    <x v="0"/>
    <x v="55"/>
    <x v="55"/>
    <x v="23"/>
    <x v="23"/>
    <x v="23"/>
    <x v="11"/>
    <x v="245"/>
    <x v="31"/>
    <x v="77"/>
    <x v="374"/>
    <x v="42"/>
    <x v="42"/>
    <x v="0"/>
  </r>
  <r>
    <x v="0"/>
    <x v="55"/>
    <x v="55"/>
    <x v="12"/>
    <x v="12"/>
    <x v="12"/>
    <x v="11"/>
    <x v="245"/>
    <x v="31"/>
    <x v="77"/>
    <x v="374"/>
    <x v="42"/>
    <x v="42"/>
    <x v="0"/>
  </r>
  <r>
    <x v="0"/>
    <x v="55"/>
    <x v="55"/>
    <x v="15"/>
    <x v="15"/>
    <x v="15"/>
    <x v="11"/>
    <x v="245"/>
    <x v="31"/>
    <x v="140"/>
    <x v="324"/>
    <x v="60"/>
    <x v="99"/>
    <x v="0"/>
  </r>
  <r>
    <x v="0"/>
    <x v="55"/>
    <x v="55"/>
    <x v="98"/>
    <x v="98"/>
    <x v="98"/>
    <x v="11"/>
    <x v="245"/>
    <x v="31"/>
    <x v="162"/>
    <x v="236"/>
    <x v="44"/>
    <x v="383"/>
    <x v="0"/>
  </r>
  <r>
    <x v="0"/>
    <x v="56"/>
    <x v="56"/>
    <x v="7"/>
    <x v="7"/>
    <x v="7"/>
    <x v="0"/>
    <x v="201"/>
    <x v="333"/>
    <x v="50"/>
    <x v="406"/>
    <x v="94"/>
    <x v="384"/>
    <x v="0"/>
  </r>
  <r>
    <x v="0"/>
    <x v="56"/>
    <x v="56"/>
    <x v="18"/>
    <x v="18"/>
    <x v="18"/>
    <x v="1"/>
    <x v="229"/>
    <x v="270"/>
    <x v="62"/>
    <x v="511"/>
    <x v="42"/>
    <x v="42"/>
    <x v="0"/>
  </r>
  <r>
    <x v="0"/>
    <x v="56"/>
    <x v="56"/>
    <x v="0"/>
    <x v="0"/>
    <x v="0"/>
    <x v="2"/>
    <x v="230"/>
    <x v="334"/>
    <x v="55"/>
    <x v="512"/>
    <x v="60"/>
    <x v="27"/>
    <x v="0"/>
  </r>
  <r>
    <x v="0"/>
    <x v="56"/>
    <x v="56"/>
    <x v="23"/>
    <x v="23"/>
    <x v="23"/>
    <x v="3"/>
    <x v="235"/>
    <x v="252"/>
    <x v="76"/>
    <x v="513"/>
    <x v="60"/>
    <x v="27"/>
    <x v="0"/>
  </r>
  <r>
    <x v="0"/>
    <x v="56"/>
    <x v="56"/>
    <x v="10"/>
    <x v="10"/>
    <x v="10"/>
    <x v="3"/>
    <x v="235"/>
    <x v="252"/>
    <x v="76"/>
    <x v="513"/>
    <x v="60"/>
    <x v="27"/>
    <x v="0"/>
  </r>
  <r>
    <x v="0"/>
    <x v="56"/>
    <x v="56"/>
    <x v="4"/>
    <x v="4"/>
    <x v="4"/>
    <x v="3"/>
    <x v="235"/>
    <x v="252"/>
    <x v="50"/>
    <x v="406"/>
    <x v="42"/>
    <x v="42"/>
    <x v="0"/>
  </r>
  <r>
    <x v="0"/>
    <x v="56"/>
    <x v="56"/>
    <x v="14"/>
    <x v="14"/>
    <x v="14"/>
    <x v="6"/>
    <x v="240"/>
    <x v="110"/>
    <x v="59"/>
    <x v="72"/>
    <x v="58"/>
    <x v="337"/>
    <x v="0"/>
  </r>
  <r>
    <x v="0"/>
    <x v="56"/>
    <x v="56"/>
    <x v="49"/>
    <x v="49"/>
    <x v="49"/>
    <x v="7"/>
    <x v="241"/>
    <x v="44"/>
    <x v="140"/>
    <x v="16"/>
    <x v="46"/>
    <x v="385"/>
    <x v="0"/>
  </r>
  <r>
    <x v="0"/>
    <x v="56"/>
    <x v="56"/>
    <x v="52"/>
    <x v="52"/>
    <x v="52"/>
    <x v="7"/>
    <x v="241"/>
    <x v="44"/>
    <x v="77"/>
    <x v="82"/>
    <x v="58"/>
    <x v="337"/>
    <x v="0"/>
  </r>
  <r>
    <x v="0"/>
    <x v="56"/>
    <x v="56"/>
    <x v="2"/>
    <x v="2"/>
    <x v="2"/>
    <x v="7"/>
    <x v="241"/>
    <x v="44"/>
    <x v="68"/>
    <x v="514"/>
    <x v="42"/>
    <x v="42"/>
    <x v="0"/>
  </r>
  <r>
    <x v="0"/>
    <x v="56"/>
    <x v="56"/>
    <x v="32"/>
    <x v="32"/>
    <x v="32"/>
    <x v="10"/>
    <x v="242"/>
    <x v="112"/>
    <x v="77"/>
    <x v="82"/>
    <x v="51"/>
    <x v="255"/>
    <x v="0"/>
  </r>
  <r>
    <x v="0"/>
    <x v="56"/>
    <x v="56"/>
    <x v="21"/>
    <x v="21"/>
    <x v="21"/>
    <x v="10"/>
    <x v="242"/>
    <x v="112"/>
    <x v="140"/>
    <x v="16"/>
    <x v="58"/>
    <x v="337"/>
    <x v="0"/>
  </r>
  <r>
    <x v="0"/>
    <x v="56"/>
    <x v="56"/>
    <x v="26"/>
    <x v="26"/>
    <x v="26"/>
    <x v="10"/>
    <x v="242"/>
    <x v="112"/>
    <x v="77"/>
    <x v="82"/>
    <x v="51"/>
    <x v="255"/>
    <x v="0"/>
  </r>
  <r>
    <x v="0"/>
    <x v="56"/>
    <x v="56"/>
    <x v="99"/>
    <x v="99"/>
    <x v="99"/>
    <x v="10"/>
    <x v="242"/>
    <x v="112"/>
    <x v="140"/>
    <x v="16"/>
    <x v="58"/>
    <x v="337"/>
    <x v="0"/>
  </r>
  <r>
    <x v="0"/>
    <x v="56"/>
    <x v="56"/>
    <x v="51"/>
    <x v="51"/>
    <x v="51"/>
    <x v="10"/>
    <x v="242"/>
    <x v="112"/>
    <x v="162"/>
    <x v="236"/>
    <x v="46"/>
    <x v="385"/>
    <x v="0"/>
  </r>
  <r>
    <x v="0"/>
    <x v="56"/>
    <x v="56"/>
    <x v="12"/>
    <x v="12"/>
    <x v="12"/>
    <x v="10"/>
    <x v="242"/>
    <x v="112"/>
    <x v="67"/>
    <x v="515"/>
    <x v="60"/>
    <x v="27"/>
    <x v="0"/>
  </r>
  <r>
    <x v="0"/>
    <x v="56"/>
    <x v="56"/>
    <x v="28"/>
    <x v="28"/>
    <x v="28"/>
    <x v="10"/>
    <x v="242"/>
    <x v="112"/>
    <x v="67"/>
    <x v="515"/>
    <x v="60"/>
    <x v="27"/>
    <x v="0"/>
  </r>
  <r>
    <x v="0"/>
    <x v="56"/>
    <x v="56"/>
    <x v="45"/>
    <x v="45"/>
    <x v="45"/>
    <x v="10"/>
    <x v="242"/>
    <x v="112"/>
    <x v="77"/>
    <x v="82"/>
    <x v="51"/>
    <x v="255"/>
    <x v="0"/>
  </r>
  <r>
    <x v="0"/>
    <x v="56"/>
    <x v="56"/>
    <x v="9"/>
    <x v="9"/>
    <x v="9"/>
    <x v="10"/>
    <x v="242"/>
    <x v="112"/>
    <x v="67"/>
    <x v="515"/>
    <x v="60"/>
    <x v="27"/>
    <x v="0"/>
  </r>
  <r>
    <x v="0"/>
    <x v="56"/>
    <x v="56"/>
    <x v="6"/>
    <x v="6"/>
    <x v="6"/>
    <x v="10"/>
    <x v="242"/>
    <x v="112"/>
    <x v="67"/>
    <x v="515"/>
    <x v="60"/>
    <x v="27"/>
    <x v="0"/>
  </r>
  <r>
    <x v="0"/>
    <x v="56"/>
    <x v="56"/>
    <x v="100"/>
    <x v="100"/>
    <x v="100"/>
    <x v="10"/>
    <x v="242"/>
    <x v="112"/>
    <x v="162"/>
    <x v="236"/>
    <x v="46"/>
    <x v="385"/>
    <x v="0"/>
  </r>
  <r>
    <x v="0"/>
    <x v="57"/>
    <x v="57"/>
    <x v="0"/>
    <x v="0"/>
    <x v="0"/>
    <x v="0"/>
    <x v="78"/>
    <x v="335"/>
    <x v="79"/>
    <x v="516"/>
    <x v="42"/>
    <x v="42"/>
    <x v="0"/>
  </r>
  <r>
    <x v="0"/>
    <x v="57"/>
    <x v="57"/>
    <x v="5"/>
    <x v="5"/>
    <x v="5"/>
    <x v="1"/>
    <x v="233"/>
    <x v="336"/>
    <x v="80"/>
    <x v="517"/>
    <x v="60"/>
    <x v="28"/>
    <x v="0"/>
  </r>
  <r>
    <x v="0"/>
    <x v="57"/>
    <x v="57"/>
    <x v="7"/>
    <x v="7"/>
    <x v="7"/>
    <x v="2"/>
    <x v="234"/>
    <x v="337"/>
    <x v="162"/>
    <x v="236"/>
    <x v="57"/>
    <x v="386"/>
    <x v="0"/>
  </r>
  <r>
    <x v="0"/>
    <x v="57"/>
    <x v="57"/>
    <x v="20"/>
    <x v="20"/>
    <x v="20"/>
    <x v="3"/>
    <x v="235"/>
    <x v="338"/>
    <x v="50"/>
    <x v="518"/>
    <x v="42"/>
    <x v="42"/>
    <x v="0"/>
  </r>
  <r>
    <x v="0"/>
    <x v="57"/>
    <x v="57"/>
    <x v="33"/>
    <x v="33"/>
    <x v="33"/>
    <x v="4"/>
    <x v="239"/>
    <x v="320"/>
    <x v="68"/>
    <x v="310"/>
    <x v="44"/>
    <x v="116"/>
    <x v="0"/>
  </r>
  <r>
    <x v="0"/>
    <x v="57"/>
    <x v="57"/>
    <x v="1"/>
    <x v="1"/>
    <x v="1"/>
    <x v="4"/>
    <x v="239"/>
    <x v="320"/>
    <x v="49"/>
    <x v="514"/>
    <x v="51"/>
    <x v="387"/>
    <x v="0"/>
  </r>
  <r>
    <x v="0"/>
    <x v="57"/>
    <x v="57"/>
    <x v="10"/>
    <x v="10"/>
    <x v="10"/>
    <x v="6"/>
    <x v="241"/>
    <x v="143"/>
    <x v="68"/>
    <x v="310"/>
    <x v="42"/>
    <x v="42"/>
    <x v="0"/>
  </r>
  <r>
    <x v="0"/>
    <x v="57"/>
    <x v="57"/>
    <x v="15"/>
    <x v="15"/>
    <x v="15"/>
    <x v="6"/>
    <x v="241"/>
    <x v="143"/>
    <x v="77"/>
    <x v="366"/>
    <x v="58"/>
    <x v="388"/>
    <x v="0"/>
  </r>
  <r>
    <x v="0"/>
    <x v="57"/>
    <x v="57"/>
    <x v="17"/>
    <x v="17"/>
    <x v="17"/>
    <x v="8"/>
    <x v="242"/>
    <x v="208"/>
    <x v="77"/>
    <x v="366"/>
    <x v="51"/>
    <x v="387"/>
    <x v="0"/>
  </r>
  <r>
    <x v="0"/>
    <x v="57"/>
    <x v="57"/>
    <x v="2"/>
    <x v="2"/>
    <x v="2"/>
    <x v="8"/>
    <x v="242"/>
    <x v="208"/>
    <x v="49"/>
    <x v="514"/>
    <x v="42"/>
    <x v="42"/>
    <x v="0"/>
  </r>
  <r>
    <x v="0"/>
    <x v="57"/>
    <x v="57"/>
    <x v="28"/>
    <x v="28"/>
    <x v="28"/>
    <x v="8"/>
    <x v="242"/>
    <x v="208"/>
    <x v="59"/>
    <x v="49"/>
    <x v="44"/>
    <x v="116"/>
    <x v="0"/>
  </r>
  <r>
    <x v="0"/>
    <x v="57"/>
    <x v="57"/>
    <x v="4"/>
    <x v="4"/>
    <x v="4"/>
    <x v="8"/>
    <x v="242"/>
    <x v="208"/>
    <x v="49"/>
    <x v="514"/>
    <x v="42"/>
    <x v="42"/>
    <x v="0"/>
  </r>
  <r>
    <x v="0"/>
    <x v="57"/>
    <x v="57"/>
    <x v="6"/>
    <x v="6"/>
    <x v="6"/>
    <x v="8"/>
    <x v="242"/>
    <x v="208"/>
    <x v="49"/>
    <x v="514"/>
    <x v="42"/>
    <x v="42"/>
    <x v="0"/>
  </r>
  <r>
    <x v="0"/>
    <x v="57"/>
    <x v="57"/>
    <x v="18"/>
    <x v="18"/>
    <x v="18"/>
    <x v="8"/>
    <x v="242"/>
    <x v="208"/>
    <x v="67"/>
    <x v="75"/>
    <x v="60"/>
    <x v="28"/>
    <x v="0"/>
  </r>
  <r>
    <x v="0"/>
    <x v="57"/>
    <x v="57"/>
    <x v="23"/>
    <x v="23"/>
    <x v="23"/>
    <x v="14"/>
    <x v="243"/>
    <x v="196"/>
    <x v="59"/>
    <x v="49"/>
    <x v="60"/>
    <x v="28"/>
    <x v="0"/>
  </r>
  <r>
    <x v="0"/>
    <x v="57"/>
    <x v="57"/>
    <x v="50"/>
    <x v="50"/>
    <x v="50"/>
    <x v="14"/>
    <x v="243"/>
    <x v="196"/>
    <x v="162"/>
    <x v="236"/>
    <x v="58"/>
    <x v="388"/>
    <x v="0"/>
  </r>
  <r>
    <x v="0"/>
    <x v="57"/>
    <x v="57"/>
    <x v="101"/>
    <x v="101"/>
    <x v="101"/>
    <x v="16"/>
    <x v="244"/>
    <x v="32"/>
    <x v="59"/>
    <x v="49"/>
    <x v="42"/>
    <x v="42"/>
    <x v="0"/>
  </r>
  <r>
    <x v="0"/>
    <x v="57"/>
    <x v="57"/>
    <x v="21"/>
    <x v="21"/>
    <x v="21"/>
    <x v="16"/>
    <x v="244"/>
    <x v="32"/>
    <x v="77"/>
    <x v="366"/>
    <x v="60"/>
    <x v="28"/>
    <x v="0"/>
  </r>
  <r>
    <x v="0"/>
    <x v="57"/>
    <x v="57"/>
    <x v="102"/>
    <x v="102"/>
    <x v="102"/>
    <x v="16"/>
    <x v="244"/>
    <x v="32"/>
    <x v="162"/>
    <x v="236"/>
    <x v="51"/>
    <x v="387"/>
    <x v="0"/>
  </r>
  <r>
    <x v="0"/>
    <x v="57"/>
    <x v="57"/>
    <x v="103"/>
    <x v="103"/>
    <x v="103"/>
    <x v="16"/>
    <x v="244"/>
    <x v="32"/>
    <x v="59"/>
    <x v="49"/>
    <x v="42"/>
    <x v="42"/>
    <x v="0"/>
  </r>
  <r>
    <x v="0"/>
    <x v="57"/>
    <x v="57"/>
    <x v="11"/>
    <x v="11"/>
    <x v="11"/>
    <x v="16"/>
    <x v="244"/>
    <x v="32"/>
    <x v="77"/>
    <x v="366"/>
    <x v="60"/>
    <x v="28"/>
    <x v="0"/>
  </r>
  <r>
    <x v="0"/>
    <x v="57"/>
    <x v="57"/>
    <x v="8"/>
    <x v="8"/>
    <x v="8"/>
    <x v="16"/>
    <x v="244"/>
    <x v="32"/>
    <x v="140"/>
    <x v="234"/>
    <x v="44"/>
    <x v="116"/>
    <x v="0"/>
  </r>
  <r>
    <x v="0"/>
    <x v="57"/>
    <x v="57"/>
    <x v="51"/>
    <x v="51"/>
    <x v="51"/>
    <x v="16"/>
    <x v="244"/>
    <x v="32"/>
    <x v="77"/>
    <x v="366"/>
    <x v="60"/>
    <x v="28"/>
    <x v="0"/>
  </r>
  <r>
    <x v="0"/>
    <x v="57"/>
    <x v="57"/>
    <x v="22"/>
    <x v="22"/>
    <x v="22"/>
    <x v="16"/>
    <x v="244"/>
    <x v="32"/>
    <x v="59"/>
    <x v="49"/>
    <x v="42"/>
    <x v="42"/>
    <x v="0"/>
  </r>
  <r>
    <x v="0"/>
    <x v="57"/>
    <x v="57"/>
    <x v="45"/>
    <x v="45"/>
    <x v="45"/>
    <x v="16"/>
    <x v="244"/>
    <x v="32"/>
    <x v="59"/>
    <x v="49"/>
    <x v="42"/>
    <x v="42"/>
    <x v="0"/>
  </r>
  <r>
    <x v="0"/>
    <x v="58"/>
    <x v="58"/>
    <x v="10"/>
    <x v="10"/>
    <x v="10"/>
    <x v="0"/>
    <x v="65"/>
    <x v="147"/>
    <x v="53"/>
    <x v="519"/>
    <x v="46"/>
    <x v="389"/>
    <x v="0"/>
  </r>
  <r>
    <x v="0"/>
    <x v="58"/>
    <x v="58"/>
    <x v="7"/>
    <x v="7"/>
    <x v="7"/>
    <x v="1"/>
    <x v="75"/>
    <x v="270"/>
    <x v="49"/>
    <x v="124"/>
    <x v="67"/>
    <x v="390"/>
    <x v="0"/>
  </r>
  <r>
    <x v="0"/>
    <x v="58"/>
    <x v="58"/>
    <x v="0"/>
    <x v="0"/>
    <x v="0"/>
    <x v="2"/>
    <x v="76"/>
    <x v="307"/>
    <x v="69"/>
    <x v="150"/>
    <x v="42"/>
    <x v="42"/>
    <x v="0"/>
  </r>
  <r>
    <x v="0"/>
    <x v="58"/>
    <x v="58"/>
    <x v="4"/>
    <x v="4"/>
    <x v="4"/>
    <x v="3"/>
    <x v="77"/>
    <x v="296"/>
    <x v="73"/>
    <x v="520"/>
    <x v="42"/>
    <x v="42"/>
    <x v="0"/>
  </r>
  <r>
    <x v="0"/>
    <x v="58"/>
    <x v="58"/>
    <x v="6"/>
    <x v="6"/>
    <x v="6"/>
    <x v="4"/>
    <x v="237"/>
    <x v="276"/>
    <x v="80"/>
    <x v="521"/>
    <x v="44"/>
    <x v="119"/>
    <x v="0"/>
  </r>
  <r>
    <x v="0"/>
    <x v="58"/>
    <x v="58"/>
    <x v="21"/>
    <x v="21"/>
    <x v="21"/>
    <x v="5"/>
    <x v="233"/>
    <x v="208"/>
    <x v="68"/>
    <x v="185"/>
    <x v="46"/>
    <x v="389"/>
    <x v="0"/>
  </r>
  <r>
    <x v="0"/>
    <x v="58"/>
    <x v="58"/>
    <x v="12"/>
    <x v="12"/>
    <x v="12"/>
    <x v="5"/>
    <x v="233"/>
    <x v="208"/>
    <x v="50"/>
    <x v="522"/>
    <x v="44"/>
    <x v="119"/>
    <x v="0"/>
  </r>
  <r>
    <x v="0"/>
    <x v="58"/>
    <x v="58"/>
    <x v="14"/>
    <x v="14"/>
    <x v="14"/>
    <x v="7"/>
    <x v="234"/>
    <x v="253"/>
    <x v="67"/>
    <x v="254"/>
    <x v="55"/>
    <x v="391"/>
    <x v="0"/>
  </r>
  <r>
    <x v="0"/>
    <x v="58"/>
    <x v="58"/>
    <x v="49"/>
    <x v="49"/>
    <x v="49"/>
    <x v="7"/>
    <x v="234"/>
    <x v="253"/>
    <x v="59"/>
    <x v="352"/>
    <x v="45"/>
    <x v="203"/>
    <x v="0"/>
  </r>
  <r>
    <x v="0"/>
    <x v="58"/>
    <x v="58"/>
    <x v="17"/>
    <x v="17"/>
    <x v="17"/>
    <x v="7"/>
    <x v="234"/>
    <x v="253"/>
    <x v="67"/>
    <x v="254"/>
    <x v="55"/>
    <x v="391"/>
    <x v="0"/>
  </r>
  <r>
    <x v="0"/>
    <x v="58"/>
    <x v="58"/>
    <x v="5"/>
    <x v="5"/>
    <x v="5"/>
    <x v="7"/>
    <x v="234"/>
    <x v="253"/>
    <x v="80"/>
    <x v="521"/>
    <x v="42"/>
    <x v="42"/>
    <x v="0"/>
  </r>
  <r>
    <x v="0"/>
    <x v="58"/>
    <x v="58"/>
    <x v="78"/>
    <x v="78"/>
    <x v="78"/>
    <x v="11"/>
    <x v="235"/>
    <x v="111"/>
    <x v="67"/>
    <x v="254"/>
    <x v="46"/>
    <x v="389"/>
    <x v="0"/>
  </r>
  <r>
    <x v="0"/>
    <x v="58"/>
    <x v="58"/>
    <x v="1"/>
    <x v="1"/>
    <x v="1"/>
    <x v="11"/>
    <x v="235"/>
    <x v="111"/>
    <x v="77"/>
    <x v="156"/>
    <x v="45"/>
    <x v="203"/>
    <x v="0"/>
  </r>
  <r>
    <x v="0"/>
    <x v="58"/>
    <x v="58"/>
    <x v="18"/>
    <x v="18"/>
    <x v="18"/>
    <x v="11"/>
    <x v="235"/>
    <x v="111"/>
    <x v="47"/>
    <x v="344"/>
    <x v="44"/>
    <x v="119"/>
    <x v="0"/>
  </r>
  <r>
    <x v="0"/>
    <x v="58"/>
    <x v="58"/>
    <x v="11"/>
    <x v="11"/>
    <x v="11"/>
    <x v="14"/>
    <x v="239"/>
    <x v="28"/>
    <x v="49"/>
    <x v="124"/>
    <x v="51"/>
    <x v="244"/>
    <x v="0"/>
  </r>
  <r>
    <x v="0"/>
    <x v="58"/>
    <x v="58"/>
    <x v="8"/>
    <x v="8"/>
    <x v="8"/>
    <x v="14"/>
    <x v="239"/>
    <x v="28"/>
    <x v="77"/>
    <x v="156"/>
    <x v="55"/>
    <x v="391"/>
    <x v="0"/>
  </r>
  <r>
    <x v="0"/>
    <x v="58"/>
    <x v="58"/>
    <x v="2"/>
    <x v="2"/>
    <x v="2"/>
    <x v="14"/>
    <x v="239"/>
    <x v="28"/>
    <x v="76"/>
    <x v="523"/>
    <x v="42"/>
    <x v="42"/>
    <x v="0"/>
  </r>
  <r>
    <x v="0"/>
    <x v="58"/>
    <x v="58"/>
    <x v="27"/>
    <x v="27"/>
    <x v="27"/>
    <x v="17"/>
    <x v="240"/>
    <x v="112"/>
    <x v="68"/>
    <x v="185"/>
    <x v="60"/>
    <x v="46"/>
    <x v="0"/>
  </r>
  <r>
    <x v="0"/>
    <x v="58"/>
    <x v="58"/>
    <x v="54"/>
    <x v="54"/>
    <x v="54"/>
    <x v="17"/>
    <x v="240"/>
    <x v="112"/>
    <x v="68"/>
    <x v="185"/>
    <x v="60"/>
    <x v="46"/>
    <x v="0"/>
  </r>
  <r>
    <x v="0"/>
    <x v="58"/>
    <x v="58"/>
    <x v="28"/>
    <x v="28"/>
    <x v="28"/>
    <x v="17"/>
    <x v="240"/>
    <x v="112"/>
    <x v="77"/>
    <x v="156"/>
    <x v="46"/>
    <x v="389"/>
    <x v="0"/>
  </r>
  <r>
    <x v="0"/>
    <x v="59"/>
    <x v="59"/>
    <x v="104"/>
    <x v="104"/>
    <x v="104"/>
    <x v="0"/>
    <x v="65"/>
    <x v="339"/>
    <x v="62"/>
    <x v="524"/>
    <x v="59"/>
    <x v="392"/>
    <x v="0"/>
  </r>
  <r>
    <x v="0"/>
    <x v="59"/>
    <x v="59"/>
    <x v="105"/>
    <x v="105"/>
    <x v="105"/>
    <x v="1"/>
    <x v="223"/>
    <x v="340"/>
    <x v="53"/>
    <x v="525"/>
    <x v="42"/>
    <x v="42"/>
    <x v="0"/>
  </r>
  <r>
    <x v="0"/>
    <x v="59"/>
    <x v="59"/>
    <x v="7"/>
    <x v="7"/>
    <x v="7"/>
    <x v="2"/>
    <x v="240"/>
    <x v="341"/>
    <x v="49"/>
    <x v="526"/>
    <x v="44"/>
    <x v="393"/>
    <x v="0"/>
  </r>
  <r>
    <x v="0"/>
    <x v="59"/>
    <x v="59"/>
    <x v="106"/>
    <x v="106"/>
    <x v="106"/>
    <x v="2"/>
    <x v="240"/>
    <x v="341"/>
    <x v="47"/>
    <x v="527"/>
    <x v="42"/>
    <x v="42"/>
    <x v="0"/>
  </r>
  <r>
    <x v="0"/>
    <x v="59"/>
    <x v="59"/>
    <x v="54"/>
    <x v="54"/>
    <x v="54"/>
    <x v="4"/>
    <x v="244"/>
    <x v="174"/>
    <x v="59"/>
    <x v="528"/>
    <x v="42"/>
    <x v="42"/>
    <x v="0"/>
  </r>
  <r>
    <x v="0"/>
    <x v="59"/>
    <x v="59"/>
    <x v="25"/>
    <x v="25"/>
    <x v="25"/>
    <x v="4"/>
    <x v="244"/>
    <x v="174"/>
    <x v="77"/>
    <x v="290"/>
    <x v="60"/>
    <x v="196"/>
    <x v="0"/>
  </r>
  <r>
    <x v="0"/>
    <x v="59"/>
    <x v="59"/>
    <x v="5"/>
    <x v="5"/>
    <x v="5"/>
    <x v="4"/>
    <x v="244"/>
    <x v="174"/>
    <x v="77"/>
    <x v="290"/>
    <x v="60"/>
    <x v="196"/>
    <x v="0"/>
  </r>
  <r>
    <x v="0"/>
    <x v="59"/>
    <x v="59"/>
    <x v="22"/>
    <x v="22"/>
    <x v="22"/>
    <x v="4"/>
    <x v="244"/>
    <x v="174"/>
    <x v="59"/>
    <x v="528"/>
    <x v="42"/>
    <x v="42"/>
    <x v="0"/>
  </r>
  <r>
    <x v="0"/>
    <x v="59"/>
    <x v="59"/>
    <x v="0"/>
    <x v="0"/>
    <x v="0"/>
    <x v="4"/>
    <x v="244"/>
    <x v="174"/>
    <x v="59"/>
    <x v="528"/>
    <x v="42"/>
    <x v="42"/>
    <x v="0"/>
  </r>
  <r>
    <x v="0"/>
    <x v="59"/>
    <x v="59"/>
    <x v="18"/>
    <x v="18"/>
    <x v="18"/>
    <x v="4"/>
    <x v="244"/>
    <x v="174"/>
    <x v="59"/>
    <x v="528"/>
    <x v="42"/>
    <x v="42"/>
    <x v="0"/>
  </r>
  <r>
    <x v="0"/>
    <x v="59"/>
    <x v="59"/>
    <x v="14"/>
    <x v="14"/>
    <x v="14"/>
    <x v="10"/>
    <x v="245"/>
    <x v="11"/>
    <x v="77"/>
    <x v="290"/>
    <x v="42"/>
    <x v="42"/>
    <x v="0"/>
  </r>
  <r>
    <x v="0"/>
    <x v="59"/>
    <x v="59"/>
    <x v="69"/>
    <x v="69"/>
    <x v="69"/>
    <x v="10"/>
    <x v="245"/>
    <x v="11"/>
    <x v="162"/>
    <x v="236"/>
    <x v="44"/>
    <x v="393"/>
    <x v="0"/>
  </r>
  <r>
    <x v="0"/>
    <x v="59"/>
    <x v="59"/>
    <x v="63"/>
    <x v="63"/>
    <x v="63"/>
    <x v="10"/>
    <x v="245"/>
    <x v="11"/>
    <x v="162"/>
    <x v="236"/>
    <x v="60"/>
    <x v="196"/>
    <x v="1"/>
  </r>
  <r>
    <x v="0"/>
    <x v="59"/>
    <x v="59"/>
    <x v="73"/>
    <x v="73"/>
    <x v="73"/>
    <x v="10"/>
    <x v="245"/>
    <x v="11"/>
    <x v="162"/>
    <x v="236"/>
    <x v="44"/>
    <x v="393"/>
    <x v="0"/>
  </r>
  <r>
    <x v="0"/>
    <x v="59"/>
    <x v="59"/>
    <x v="11"/>
    <x v="11"/>
    <x v="11"/>
    <x v="10"/>
    <x v="245"/>
    <x v="11"/>
    <x v="77"/>
    <x v="290"/>
    <x v="42"/>
    <x v="42"/>
    <x v="0"/>
  </r>
  <r>
    <x v="0"/>
    <x v="59"/>
    <x v="59"/>
    <x v="51"/>
    <x v="51"/>
    <x v="51"/>
    <x v="10"/>
    <x v="245"/>
    <x v="11"/>
    <x v="162"/>
    <x v="236"/>
    <x v="44"/>
    <x v="393"/>
    <x v="0"/>
  </r>
  <r>
    <x v="0"/>
    <x v="59"/>
    <x v="59"/>
    <x v="12"/>
    <x v="12"/>
    <x v="12"/>
    <x v="10"/>
    <x v="245"/>
    <x v="11"/>
    <x v="162"/>
    <x v="236"/>
    <x v="44"/>
    <x v="393"/>
    <x v="0"/>
  </r>
  <r>
    <x v="0"/>
    <x v="59"/>
    <x v="59"/>
    <x v="76"/>
    <x v="76"/>
    <x v="76"/>
    <x v="10"/>
    <x v="245"/>
    <x v="11"/>
    <x v="77"/>
    <x v="290"/>
    <x v="42"/>
    <x v="42"/>
    <x v="0"/>
  </r>
  <r>
    <x v="0"/>
    <x v="59"/>
    <x v="59"/>
    <x v="4"/>
    <x v="4"/>
    <x v="4"/>
    <x v="10"/>
    <x v="245"/>
    <x v="11"/>
    <x v="77"/>
    <x v="290"/>
    <x v="42"/>
    <x v="42"/>
    <x v="0"/>
  </r>
  <r>
    <x v="0"/>
    <x v="59"/>
    <x v="59"/>
    <x v="9"/>
    <x v="9"/>
    <x v="9"/>
    <x v="10"/>
    <x v="245"/>
    <x v="11"/>
    <x v="140"/>
    <x v="529"/>
    <x v="60"/>
    <x v="196"/>
    <x v="0"/>
  </r>
  <r>
    <x v="0"/>
    <x v="60"/>
    <x v="60"/>
    <x v="18"/>
    <x v="18"/>
    <x v="18"/>
    <x v="0"/>
    <x v="229"/>
    <x v="342"/>
    <x v="62"/>
    <x v="425"/>
    <x v="42"/>
    <x v="42"/>
    <x v="0"/>
  </r>
  <r>
    <x v="0"/>
    <x v="60"/>
    <x v="60"/>
    <x v="0"/>
    <x v="0"/>
    <x v="0"/>
    <x v="1"/>
    <x v="236"/>
    <x v="157"/>
    <x v="55"/>
    <x v="530"/>
    <x v="42"/>
    <x v="42"/>
    <x v="0"/>
  </r>
  <r>
    <x v="0"/>
    <x v="60"/>
    <x v="60"/>
    <x v="7"/>
    <x v="7"/>
    <x v="7"/>
    <x v="2"/>
    <x v="233"/>
    <x v="116"/>
    <x v="59"/>
    <x v="531"/>
    <x v="52"/>
    <x v="394"/>
    <x v="0"/>
  </r>
  <r>
    <x v="0"/>
    <x v="60"/>
    <x v="60"/>
    <x v="33"/>
    <x v="33"/>
    <x v="33"/>
    <x v="3"/>
    <x v="235"/>
    <x v="343"/>
    <x v="76"/>
    <x v="532"/>
    <x v="60"/>
    <x v="166"/>
    <x v="0"/>
  </r>
  <r>
    <x v="0"/>
    <x v="60"/>
    <x v="60"/>
    <x v="10"/>
    <x v="10"/>
    <x v="10"/>
    <x v="3"/>
    <x v="235"/>
    <x v="343"/>
    <x v="50"/>
    <x v="180"/>
    <x v="42"/>
    <x v="42"/>
    <x v="0"/>
  </r>
  <r>
    <x v="0"/>
    <x v="60"/>
    <x v="60"/>
    <x v="9"/>
    <x v="9"/>
    <x v="9"/>
    <x v="5"/>
    <x v="239"/>
    <x v="206"/>
    <x v="76"/>
    <x v="532"/>
    <x v="42"/>
    <x v="42"/>
    <x v="0"/>
  </r>
  <r>
    <x v="0"/>
    <x v="60"/>
    <x v="60"/>
    <x v="17"/>
    <x v="17"/>
    <x v="17"/>
    <x v="6"/>
    <x v="240"/>
    <x v="159"/>
    <x v="77"/>
    <x v="333"/>
    <x v="46"/>
    <x v="395"/>
    <x v="0"/>
  </r>
  <r>
    <x v="0"/>
    <x v="60"/>
    <x v="60"/>
    <x v="31"/>
    <x v="31"/>
    <x v="31"/>
    <x v="7"/>
    <x v="241"/>
    <x v="6"/>
    <x v="77"/>
    <x v="333"/>
    <x v="58"/>
    <x v="355"/>
    <x v="0"/>
  </r>
  <r>
    <x v="0"/>
    <x v="60"/>
    <x v="60"/>
    <x v="27"/>
    <x v="27"/>
    <x v="27"/>
    <x v="7"/>
    <x v="241"/>
    <x v="6"/>
    <x v="49"/>
    <x v="218"/>
    <x v="60"/>
    <x v="166"/>
    <x v="0"/>
  </r>
  <r>
    <x v="0"/>
    <x v="60"/>
    <x v="60"/>
    <x v="6"/>
    <x v="6"/>
    <x v="6"/>
    <x v="7"/>
    <x v="241"/>
    <x v="6"/>
    <x v="67"/>
    <x v="437"/>
    <x v="44"/>
    <x v="396"/>
    <x v="0"/>
  </r>
  <r>
    <x v="0"/>
    <x v="60"/>
    <x v="60"/>
    <x v="14"/>
    <x v="14"/>
    <x v="14"/>
    <x v="10"/>
    <x v="242"/>
    <x v="145"/>
    <x v="162"/>
    <x v="236"/>
    <x v="46"/>
    <x v="395"/>
    <x v="0"/>
  </r>
  <r>
    <x v="0"/>
    <x v="60"/>
    <x v="60"/>
    <x v="70"/>
    <x v="70"/>
    <x v="70"/>
    <x v="10"/>
    <x v="242"/>
    <x v="145"/>
    <x v="140"/>
    <x v="114"/>
    <x v="58"/>
    <x v="355"/>
    <x v="0"/>
  </r>
  <r>
    <x v="0"/>
    <x v="60"/>
    <x v="60"/>
    <x v="28"/>
    <x v="28"/>
    <x v="28"/>
    <x v="10"/>
    <x v="242"/>
    <x v="145"/>
    <x v="77"/>
    <x v="333"/>
    <x v="51"/>
    <x v="136"/>
    <x v="0"/>
  </r>
  <r>
    <x v="0"/>
    <x v="60"/>
    <x v="60"/>
    <x v="4"/>
    <x v="4"/>
    <x v="4"/>
    <x v="10"/>
    <x v="242"/>
    <x v="145"/>
    <x v="67"/>
    <x v="437"/>
    <x v="60"/>
    <x v="166"/>
    <x v="0"/>
  </r>
  <r>
    <x v="0"/>
    <x v="60"/>
    <x v="60"/>
    <x v="21"/>
    <x v="21"/>
    <x v="21"/>
    <x v="14"/>
    <x v="243"/>
    <x v="131"/>
    <x v="77"/>
    <x v="333"/>
    <x v="44"/>
    <x v="396"/>
    <x v="0"/>
  </r>
  <r>
    <x v="0"/>
    <x v="60"/>
    <x v="60"/>
    <x v="8"/>
    <x v="8"/>
    <x v="8"/>
    <x v="14"/>
    <x v="243"/>
    <x v="131"/>
    <x v="140"/>
    <x v="114"/>
    <x v="51"/>
    <x v="136"/>
    <x v="0"/>
  </r>
  <r>
    <x v="0"/>
    <x v="60"/>
    <x v="60"/>
    <x v="2"/>
    <x v="2"/>
    <x v="2"/>
    <x v="14"/>
    <x v="243"/>
    <x v="131"/>
    <x v="67"/>
    <x v="437"/>
    <x v="42"/>
    <x v="42"/>
    <x v="0"/>
  </r>
  <r>
    <x v="0"/>
    <x v="60"/>
    <x v="60"/>
    <x v="68"/>
    <x v="68"/>
    <x v="68"/>
    <x v="14"/>
    <x v="243"/>
    <x v="131"/>
    <x v="67"/>
    <x v="437"/>
    <x v="42"/>
    <x v="42"/>
    <x v="0"/>
  </r>
  <r>
    <x v="0"/>
    <x v="60"/>
    <x v="60"/>
    <x v="107"/>
    <x v="107"/>
    <x v="107"/>
    <x v="14"/>
    <x v="243"/>
    <x v="131"/>
    <x v="162"/>
    <x v="236"/>
    <x v="42"/>
    <x v="42"/>
    <x v="6"/>
  </r>
  <r>
    <x v="0"/>
    <x v="60"/>
    <x v="60"/>
    <x v="78"/>
    <x v="78"/>
    <x v="78"/>
    <x v="19"/>
    <x v="244"/>
    <x v="321"/>
    <x v="162"/>
    <x v="236"/>
    <x v="51"/>
    <x v="136"/>
    <x v="0"/>
  </r>
  <r>
    <x v="0"/>
    <x v="60"/>
    <x v="60"/>
    <x v="95"/>
    <x v="95"/>
    <x v="95"/>
    <x v="19"/>
    <x v="244"/>
    <x v="321"/>
    <x v="140"/>
    <x v="114"/>
    <x v="44"/>
    <x v="396"/>
    <x v="0"/>
  </r>
  <r>
    <x v="0"/>
    <x v="60"/>
    <x v="60"/>
    <x v="26"/>
    <x v="26"/>
    <x v="26"/>
    <x v="19"/>
    <x v="244"/>
    <x v="321"/>
    <x v="162"/>
    <x v="236"/>
    <x v="51"/>
    <x v="136"/>
    <x v="0"/>
  </r>
  <r>
    <x v="0"/>
    <x v="60"/>
    <x v="60"/>
    <x v="97"/>
    <x v="97"/>
    <x v="97"/>
    <x v="19"/>
    <x v="244"/>
    <x v="321"/>
    <x v="140"/>
    <x v="114"/>
    <x v="44"/>
    <x v="396"/>
    <x v="0"/>
  </r>
  <r>
    <x v="0"/>
    <x v="60"/>
    <x v="60"/>
    <x v="30"/>
    <x v="30"/>
    <x v="30"/>
    <x v="19"/>
    <x v="244"/>
    <x v="321"/>
    <x v="140"/>
    <x v="114"/>
    <x v="44"/>
    <x v="396"/>
    <x v="0"/>
  </r>
  <r>
    <x v="0"/>
    <x v="60"/>
    <x v="60"/>
    <x v="108"/>
    <x v="108"/>
    <x v="108"/>
    <x v="19"/>
    <x v="244"/>
    <x v="321"/>
    <x v="162"/>
    <x v="236"/>
    <x v="51"/>
    <x v="136"/>
    <x v="0"/>
  </r>
  <r>
    <x v="0"/>
    <x v="60"/>
    <x v="60"/>
    <x v="109"/>
    <x v="109"/>
    <x v="109"/>
    <x v="19"/>
    <x v="244"/>
    <x v="321"/>
    <x v="77"/>
    <x v="333"/>
    <x v="60"/>
    <x v="166"/>
    <x v="0"/>
  </r>
  <r>
    <x v="0"/>
    <x v="60"/>
    <x v="60"/>
    <x v="11"/>
    <x v="11"/>
    <x v="11"/>
    <x v="19"/>
    <x v="244"/>
    <x v="321"/>
    <x v="59"/>
    <x v="531"/>
    <x v="42"/>
    <x v="42"/>
    <x v="0"/>
  </r>
  <r>
    <x v="0"/>
    <x v="60"/>
    <x v="60"/>
    <x v="12"/>
    <x v="12"/>
    <x v="12"/>
    <x v="19"/>
    <x v="244"/>
    <x v="321"/>
    <x v="59"/>
    <x v="531"/>
    <x v="42"/>
    <x v="42"/>
    <x v="0"/>
  </r>
  <r>
    <x v="0"/>
    <x v="60"/>
    <x v="60"/>
    <x v="1"/>
    <x v="1"/>
    <x v="1"/>
    <x v="19"/>
    <x v="244"/>
    <x v="321"/>
    <x v="140"/>
    <x v="114"/>
    <x v="44"/>
    <x v="396"/>
    <x v="0"/>
  </r>
  <r>
    <x v="0"/>
    <x v="60"/>
    <x v="60"/>
    <x v="45"/>
    <x v="45"/>
    <x v="45"/>
    <x v="19"/>
    <x v="244"/>
    <x v="321"/>
    <x v="59"/>
    <x v="531"/>
    <x v="42"/>
    <x v="42"/>
    <x v="0"/>
  </r>
  <r>
    <x v="0"/>
    <x v="60"/>
    <x v="60"/>
    <x v="29"/>
    <x v="29"/>
    <x v="29"/>
    <x v="19"/>
    <x v="244"/>
    <x v="321"/>
    <x v="59"/>
    <x v="531"/>
    <x v="42"/>
    <x v="42"/>
    <x v="0"/>
  </r>
  <r>
    <x v="0"/>
    <x v="60"/>
    <x v="60"/>
    <x v="72"/>
    <x v="72"/>
    <x v="72"/>
    <x v="19"/>
    <x v="244"/>
    <x v="321"/>
    <x v="162"/>
    <x v="236"/>
    <x v="44"/>
    <x v="396"/>
    <x v="0"/>
  </r>
  <r>
    <x v="0"/>
    <x v="60"/>
    <x v="60"/>
    <x v="50"/>
    <x v="50"/>
    <x v="50"/>
    <x v="19"/>
    <x v="244"/>
    <x v="321"/>
    <x v="162"/>
    <x v="236"/>
    <x v="51"/>
    <x v="136"/>
    <x v="0"/>
  </r>
  <r>
    <x v="0"/>
    <x v="61"/>
    <x v="61"/>
    <x v="1"/>
    <x v="1"/>
    <x v="1"/>
    <x v="0"/>
    <x v="75"/>
    <x v="344"/>
    <x v="78"/>
    <x v="527"/>
    <x v="46"/>
    <x v="397"/>
    <x v="0"/>
  </r>
  <r>
    <x v="0"/>
    <x v="61"/>
    <x v="61"/>
    <x v="10"/>
    <x v="10"/>
    <x v="10"/>
    <x v="1"/>
    <x v="224"/>
    <x v="345"/>
    <x v="96"/>
    <x v="533"/>
    <x v="44"/>
    <x v="232"/>
    <x v="0"/>
  </r>
  <r>
    <x v="0"/>
    <x v="61"/>
    <x v="61"/>
    <x v="55"/>
    <x v="55"/>
    <x v="55"/>
    <x v="2"/>
    <x v="230"/>
    <x v="346"/>
    <x v="55"/>
    <x v="199"/>
    <x v="60"/>
    <x v="5"/>
    <x v="0"/>
  </r>
  <r>
    <x v="0"/>
    <x v="61"/>
    <x v="61"/>
    <x v="4"/>
    <x v="4"/>
    <x v="4"/>
    <x v="3"/>
    <x v="237"/>
    <x v="347"/>
    <x v="97"/>
    <x v="534"/>
    <x v="60"/>
    <x v="5"/>
    <x v="0"/>
  </r>
  <r>
    <x v="0"/>
    <x v="61"/>
    <x v="61"/>
    <x v="0"/>
    <x v="0"/>
    <x v="0"/>
    <x v="3"/>
    <x v="237"/>
    <x v="347"/>
    <x v="97"/>
    <x v="534"/>
    <x v="60"/>
    <x v="5"/>
    <x v="0"/>
  </r>
  <r>
    <x v="0"/>
    <x v="61"/>
    <x v="61"/>
    <x v="8"/>
    <x v="8"/>
    <x v="8"/>
    <x v="5"/>
    <x v="233"/>
    <x v="348"/>
    <x v="68"/>
    <x v="214"/>
    <x v="46"/>
    <x v="397"/>
    <x v="0"/>
  </r>
  <r>
    <x v="0"/>
    <x v="61"/>
    <x v="61"/>
    <x v="9"/>
    <x v="9"/>
    <x v="9"/>
    <x v="5"/>
    <x v="233"/>
    <x v="348"/>
    <x v="76"/>
    <x v="479"/>
    <x v="51"/>
    <x v="385"/>
    <x v="0"/>
  </r>
  <r>
    <x v="0"/>
    <x v="61"/>
    <x v="61"/>
    <x v="56"/>
    <x v="56"/>
    <x v="56"/>
    <x v="7"/>
    <x v="235"/>
    <x v="349"/>
    <x v="49"/>
    <x v="10"/>
    <x v="58"/>
    <x v="398"/>
    <x v="0"/>
  </r>
  <r>
    <x v="0"/>
    <x v="61"/>
    <x v="61"/>
    <x v="33"/>
    <x v="33"/>
    <x v="33"/>
    <x v="8"/>
    <x v="239"/>
    <x v="41"/>
    <x v="47"/>
    <x v="395"/>
    <x v="60"/>
    <x v="5"/>
    <x v="0"/>
  </r>
  <r>
    <x v="0"/>
    <x v="61"/>
    <x v="61"/>
    <x v="6"/>
    <x v="6"/>
    <x v="6"/>
    <x v="8"/>
    <x v="239"/>
    <x v="41"/>
    <x v="76"/>
    <x v="479"/>
    <x v="42"/>
    <x v="42"/>
    <x v="0"/>
  </r>
  <r>
    <x v="0"/>
    <x v="61"/>
    <x v="61"/>
    <x v="18"/>
    <x v="18"/>
    <x v="18"/>
    <x v="8"/>
    <x v="239"/>
    <x v="41"/>
    <x v="76"/>
    <x v="479"/>
    <x v="42"/>
    <x v="42"/>
    <x v="0"/>
  </r>
  <r>
    <x v="0"/>
    <x v="61"/>
    <x v="61"/>
    <x v="7"/>
    <x v="7"/>
    <x v="7"/>
    <x v="11"/>
    <x v="240"/>
    <x v="84"/>
    <x v="140"/>
    <x v="535"/>
    <x v="55"/>
    <x v="399"/>
    <x v="0"/>
  </r>
  <r>
    <x v="0"/>
    <x v="61"/>
    <x v="61"/>
    <x v="5"/>
    <x v="5"/>
    <x v="5"/>
    <x v="11"/>
    <x v="240"/>
    <x v="84"/>
    <x v="49"/>
    <x v="10"/>
    <x v="44"/>
    <x v="232"/>
    <x v="0"/>
  </r>
  <r>
    <x v="0"/>
    <x v="61"/>
    <x v="61"/>
    <x v="11"/>
    <x v="11"/>
    <x v="11"/>
    <x v="13"/>
    <x v="241"/>
    <x v="57"/>
    <x v="49"/>
    <x v="10"/>
    <x v="60"/>
    <x v="5"/>
    <x v="0"/>
  </r>
  <r>
    <x v="0"/>
    <x v="61"/>
    <x v="61"/>
    <x v="110"/>
    <x v="110"/>
    <x v="110"/>
    <x v="14"/>
    <x v="242"/>
    <x v="186"/>
    <x v="67"/>
    <x v="473"/>
    <x v="60"/>
    <x v="5"/>
    <x v="0"/>
  </r>
  <r>
    <x v="0"/>
    <x v="61"/>
    <x v="61"/>
    <x v="51"/>
    <x v="51"/>
    <x v="51"/>
    <x v="14"/>
    <x v="242"/>
    <x v="186"/>
    <x v="67"/>
    <x v="473"/>
    <x v="60"/>
    <x v="5"/>
    <x v="0"/>
  </r>
  <r>
    <x v="0"/>
    <x v="61"/>
    <x v="61"/>
    <x v="17"/>
    <x v="17"/>
    <x v="17"/>
    <x v="16"/>
    <x v="243"/>
    <x v="34"/>
    <x v="59"/>
    <x v="292"/>
    <x v="60"/>
    <x v="5"/>
    <x v="0"/>
  </r>
  <r>
    <x v="0"/>
    <x v="61"/>
    <x v="61"/>
    <x v="62"/>
    <x v="62"/>
    <x v="62"/>
    <x v="16"/>
    <x v="243"/>
    <x v="34"/>
    <x v="140"/>
    <x v="535"/>
    <x v="51"/>
    <x v="385"/>
    <x v="0"/>
  </r>
  <r>
    <x v="0"/>
    <x v="61"/>
    <x v="61"/>
    <x v="26"/>
    <x v="26"/>
    <x v="26"/>
    <x v="16"/>
    <x v="243"/>
    <x v="34"/>
    <x v="140"/>
    <x v="535"/>
    <x v="51"/>
    <x v="385"/>
    <x v="0"/>
  </r>
  <r>
    <x v="0"/>
    <x v="61"/>
    <x v="61"/>
    <x v="53"/>
    <x v="53"/>
    <x v="53"/>
    <x v="16"/>
    <x v="243"/>
    <x v="34"/>
    <x v="77"/>
    <x v="269"/>
    <x v="44"/>
    <x v="232"/>
    <x v="0"/>
  </r>
  <r>
    <x v="0"/>
    <x v="61"/>
    <x v="61"/>
    <x v="97"/>
    <x v="97"/>
    <x v="97"/>
    <x v="16"/>
    <x v="243"/>
    <x v="34"/>
    <x v="140"/>
    <x v="535"/>
    <x v="51"/>
    <x v="385"/>
    <x v="0"/>
  </r>
  <r>
    <x v="0"/>
    <x v="61"/>
    <x v="61"/>
    <x v="60"/>
    <x v="60"/>
    <x v="60"/>
    <x v="16"/>
    <x v="243"/>
    <x v="34"/>
    <x v="140"/>
    <x v="535"/>
    <x v="51"/>
    <x v="385"/>
    <x v="0"/>
  </r>
  <r>
    <x v="0"/>
    <x v="61"/>
    <x v="61"/>
    <x v="19"/>
    <x v="19"/>
    <x v="19"/>
    <x v="16"/>
    <x v="243"/>
    <x v="34"/>
    <x v="59"/>
    <x v="292"/>
    <x v="60"/>
    <x v="5"/>
    <x v="0"/>
  </r>
  <r>
    <x v="0"/>
    <x v="61"/>
    <x v="61"/>
    <x v="54"/>
    <x v="54"/>
    <x v="54"/>
    <x v="16"/>
    <x v="243"/>
    <x v="34"/>
    <x v="59"/>
    <x v="292"/>
    <x v="60"/>
    <x v="5"/>
    <x v="0"/>
  </r>
  <r>
    <x v="0"/>
    <x v="61"/>
    <x v="61"/>
    <x v="16"/>
    <x v="16"/>
    <x v="16"/>
    <x v="16"/>
    <x v="243"/>
    <x v="34"/>
    <x v="140"/>
    <x v="535"/>
    <x v="51"/>
    <x v="385"/>
    <x v="0"/>
  </r>
  <r>
    <x v="0"/>
    <x v="62"/>
    <x v="62"/>
    <x v="18"/>
    <x v="18"/>
    <x v="18"/>
    <x v="0"/>
    <x v="65"/>
    <x v="350"/>
    <x v="135"/>
    <x v="536"/>
    <x v="51"/>
    <x v="151"/>
    <x v="0"/>
  </r>
  <r>
    <x v="0"/>
    <x v="62"/>
    <x v="62"/>
    <x v="0"/>
    <x v="0"/>
    <x v="0"/>
    <x v="1"/>
    <x v="66"/>
    <x v="351"/>
    <x v="75"/>
    <x v="537"/>
    <x v="60"/>
    <x v="194"/>
    <x v="0"/>
  </r>
  <r>
    <x v="0"/>
    <x v="62"/>
    <x v="62"/>
    <x v="10"/>
    <x v="10"/>
    <x v="10"/>
    <x v="2"/>
    <x v="229"/>
    <x v="352"/>
    <x v="80"/>
    <x v="436"/>
    <x v="46"/>
    <x v="196"/>
    <x v="0"/>
  </r>
  <r>
    <x v="0"/>
    <x v="62"/>
    <x v="62"/>
    <x v="4"/>
    <x v="4"/>
    <x v="4"/>
    <x v="3"/>
    <x v="236"/>
    <x v="49"/>
    <x v="55"/>
    <x v="538"/>
    <x v="42"/>
    <x v="42"/>
    <x v="0"/>
  </r>
  <r>
    <x v="0"/>
    <x v="62"/>
    <x v="62"/>
    <x v="1"/>
    <x v="1"/>
    <x v="1"/>
    <x v="4"/>
    <x v="237"/>
    <x v="20"/>
    <x v="47"/>
    <x v="487"/>
    <x v="46"/>
    <x v="196"/>
    <x v="0"/>
  </r>
  <r>
    <x v="0"/>
    <x v="62"/>
    <x v="62"/>
    <x v="6"/>
    <x v="6"/>
    <x v="6"/>
    <x v="4"/>
    <x v="237"/>
    <x v="20"/>
    <x v="80"/>
    <x v="436"/>
    <x v="44"/>
    <x v="10"/>
    <x v="0"/>
  </r>
  <r>
    <x v="0"/>
    <x v="62"/>
    <x v="62"/>
    <x v="8"/>
    <x v="8"/>
    <x v="8"/>
    <x v="6"/>
    <x v="233"/>
    <x v="4"/>
    <x v="47"/>
    <x v="487"/>
    <x v="58"/>
    <x v="176"/>
    <x v="0"/>
  </r>
  <r>
    <x v="0"/>
    <x v="62"/>
    <x v="62"/>
    <x v="33"/>
    <x v="33"/>
    <x v="33"/>
    <x v="7"/>
    <x v="235"/>
    <x v="25"/>
    <x v="49"/>
    <x v="80"/>
    <x v="58"/>
    <x v="176"/>
    <x v="0"/>
  </r>
  <r>
    <x v="0"/>
    <x v="62"/>
    <x v="62"/>
    <x v="11"/>
    <x v="11"/>
    <x v="11"/>
    <x v="7"/>
    <x v="235"/>
    <x v="25"/>
    <x v="47"/>
    <x v="487"/>
    <x v="44"/>
    <x v="10"/>
    <x v="0"/>
  </r>
  <r>
    <x v="0"/>
    <x v="62"/>
    <x v="62"/>
    <x v="12"/>
    <x v="12"/>
    <x v="12"/>
    <x v="7"/>
    <x v="235"/>
    <x v="25"/>
    <x v="50"/>
    <x v="401"/>
    <x v="42"/>
    <x v="42"/>
    <x v="0"/>
  </r>
  <r>
    <x v="0"/>
    <x v="62"/>
    <x v="62"/>
    <x v="5"/>
    <x v="5"/>
    <x v="5"/>
    <x v="7"/>
    <x v="235"/>
    <x v="25"/>
    <x v="47"/>
    <x v="487"/>
    <x v="44"/>
    <x v="10"/>
    <x v="0"/>
  </r>
  <r>
    <x v="0"/>
    <x v="62"/>
    <x v="62"/>
    <x v="2"/>
    <x v="2"/>
    <x v="2"/>
    <x v="7"/>
    <x v="235"/>
    <x v="25"/>
    <x v="50"/>
    <x v="401"/>
    <x v="42"/>
    <x v="42"/>
    <x v="0"/>
  </r>
  <r>
    <x v="0"/>
    <x v="62"/>
    <x v="62"/>
    <x v="111"/>
    <x v="111"/>
    <x v="111"/>
    <x v="12"/>
    <x v="239"/>
    <x v="162"/>
    <x v="68"/>
    <x v="539"/>
    <x v="44"/>
    <x v="10"/>
    <x v="0"/>
  </r>
  <r>
    <x v="0"/>
    <x v="62"/>
    <x v="62"/>
    <x v="15"/>
    <x v="15"/>
    <x v="15"/>
    <x v="13"/>
    <x v="240"/>
    <x v="353"/>
    <x v="77"/>
    <x v="156"/>
    <x v="46"/>
    <x v="196"/>
    <x v="0"/>
  </r>
  <r>
    <x v="0"/>
    <x v="62"/>
    <x v="62"/>
    <x v="66"/>
    <x v="66"/>
    <x v="66"/>
    <x v="13"/>
    <x v="240"/>
    <x v="353"/>
    <x v="47"/>
    <x v="487"/>
    <x v="42"/>
    <x v="42"/>
    <x v="0"/>
  </r>
  <r>
    <x v="0"/>
    <x v="62"/>
    <x v="62"/>
    <x v="7"/>
    <x v="7"/>
    <x v="7"/>
    <x v="15"/>
    <x v="241"/>
    <x v="87"/>
    <x v="59"/>
    <x v="346"/>
    <x v="51"/>
    <x v="151"/>
    <x v="0"/>
  </r>
  <r>
    <x v="0"/>
    <x v="62"/>
    <x v="62"/>
    <x v="14"/>
    <x v="14"/>
    <x v="14"/>
    <x v="15"/>
    <x v="241"/>
    <x v="87"/>
    <x v="77"/>
    <x v="156"/>
    <x v="58"/>
    <x v="176"/>
    <x v="0"/>
  </r>
  <r>
    <x v="0"/>
    <x v="62"/>
    <x v="62"/>
    <x v="57"/>
    <x v="57"/>
    <x v="57"/>
    <x v="15"/>
    <x v="241"/>
    <x v="87"/>
    <x v="49"/>
    <x v="80"/>
    <x v="42"/>
    <x v="42"/>
    <x v="1"/>
  </r>
  <r>
    <x v="0"/>
    <x v="62"/>
    <x v="62"/>
    <x v="42"/>
    <x v="42"/>
    <x v="42"/>
    <x v="15"/>
    <x v="241"/>
    <x v="87"/>
    <x v="140"/>
    <x v="476"/>
    <x v="46"/>
    <x v="196"/>
    <x v="0"/>
  </r>
  <r>
    <x v="0"/>
    <x v="62"/>
    <x v="62"/>
    <x v="28"/>
    <x v="28"/>
    <x v="28"/>
    <x v="15"/>
    <x v="241"/>
    <x v="87"/>
    <x v="49"/>
    <x v="80"/>
    <x v="60"/>
    <x v="194"/>
    <x v="0"/>
  </r>
  <r>
    <x v="0"/>
    <x v="62"/>
    <x v="62"/>
    <x v="45"/>
    <x v="45"/>
    <x v="45"/>
    <x v="15"/>
    <x v="241"/>
    <x v="87"/>
    <x v="68"/>
    <x v="539"/>
    <x v="42"/>
    <x v="42"/>
    <x v="0"/>
  </r>
  <r>
    <x v="0"/>
    <x v="62"/>
    <x v="62"/>
    <x v="50"/>
    <x v="50"/>
    <x v="50"/>
    <x v="15"/>
    <x v="241"/>
    <x v="87"/>
    <x v="162"/>
    <x v="236"/>
    <x v="55"/>
    <x v="169"/>
    <x v="0"/>
  </r>
  <r>
    <x v="0"/>
    <x v="63"/>
    <x v="63"/>
    <x v="7"/>
    <x v="7"/>
    <x v="7"/>
    <x v="0"/>
    <x v="237"/>
    <x v="115"/>
    <x v="67"/>
    <x v="253"/>
    <x v="52"/>
    <x v="400"/>
    <x v="0"/>
  </r>
  <r>
    <x v="0"/>
    <x v="63"/>
    <x v="63"/>
    <x v="4"/>
    <x v="4"/>
    <x v="4"/>
    <x v="0"/>
    <x v="237"/>
    <x v="115"/>
    <x v="97"/>
    <x v="540"/>
    <x v="60"/>
    <x v="99"/>
    <x v="0"/>
  </r>
  <r>
    <x v="0"/>
    <x v="63"/>
    <x v="63"/>
    <x v="0"/>
    <x v="0"/>
    <x v="0"/>
    <x v="2"/>
    <x v="234"/>
    <x v="354"/>
    <x v="80"/>
    <x v="541"/>
    <x v="42"/>
    <x v="42"/>
    <x v="0"/>
  </r>
  <r>
    <x v="0"/>
    <x v="63"/>
    <x v="63"/>
    <x v="18"/>
    <x v="18"/>
    <x v="18"/>
    <x v="3"/>
    <x v="240"/>
    <x v="151"/>
    <x v="68"/>
    <x v="538"/>
    <x v="60"/>
    <x v="99"/>
    <x v="0"/>
  </r>
  <r>
    <x v="0"/>
    <x v="63"/>
    <x v="63"/>
    <x v="27"/>
    <x v="27"/>
    <x v="27"/>
    <x v="4"/>
    <x v="241"/>
    <x v="189"/>
    <x v="68"/>
    <x v="538"/>
    <x v="42"/>
    <x v="42"/>
    <x v="0"/>
  </r>
  <r>
    <x v="0"/>
    <x v="63"/>
    <x v="63"/>
    <x v="51"/>
    <x v="51"/>
    <x v="51"/>
    <x v="4"/>
    <x v="241"/>
    <x v="189"/>
    <x v="140"/>
    <x v="542"/>
    <x v="46"/>
    <x v="401"/>
    <x v="0"/>
  </r>
  <r>
    <x v="0"/>
    <x v="63"/>
    <x v="63"/>
    <x v="26"/>
    <x v="26"/>
    <x v="26"/>
    <x v="6"/>
    <x v="242"/>
    <x v="280"/>
    <x v="140"/>
    <x v="542"/>
    <x v="58"/>
    <x v="402"/>
    <x v="0"/>
  </r>
  <r>
    <x v="0"/>
    <x v="63"/>
    <x v="63"/>
    <x v="17"/>
    <x v="17"/>
    <x v="17"/>
    <x v="7"/>
    <x v="243"/>
    <x v="183"/>
    <x v="77"/>
    <x v="313"/>
    <x v="44"/>
    <x v="383"/>
    <x v="0"/>
  </r>
  <r>
    <x v="0"/>
    <x v="63"/>
    <x v="63"/>
    <x v="50"/>
    <x v="50"/>
    <x v="50"/>
    <x v="7"/>
    <x v="243"/>
    <x v="183"/>
    <x v="162"/>
    <x v="236"/>
    <x v="58"/>
    <x v="402"/>
    <x v="0"/>
  </r>
  <r>
    <x v="0"/>
    <x v="63"/>
    <x v="63"/>
    <x v="82"/>
    <x v="82"/>
    <x v="82"/>
    <x v="9"/>
    <x v="244"/>
    <x v="131"/>
    <x v="77"/>
    <x v="313"/>
    <x v="60"/>
    <x v="99"/>
    <x v="0"/>
  </r>
  <r>
    <x v="0"/>
    <x v="63"/>
    <x v="63"/>
    <x v="14"/>
    <x v="14"/>
    <x v="14"/>
    <x v="9"/>
    <x v="244"/>
    <x v="131"/>
    <x v="162"/>
    <x v="236"/>
    <x v="51"/>
    <x v="403"/>
    <x v="0"/>
  </r>
  <r>
    <x v="0"/>
    <x v="63"/>
    <x v="63"/>
    <x v="112"/>
    <x v="112"/>
    <x v="112"/>
    <x v="9"/>
    <x v="244"/>
    <x v="131"/>
    <x v="59"/>
    <x v="11"/>
    <x v="42"/>
    <x v="42"/>
    <x v="0"/>
  </r>
  <r>
    <x v="0"/>
    <x v="63"/>
    <x v="63"/>
    <x v="109"/>
    <x v="109"/>
    <x v="109"/>
    <x v="9"/>
    <x v="244"/>
    <x v="131"/>
    <x v="59"/>
    <x v="11"/>
    <x v="42"/>
    <x v="42"/>
    <x v="0"/>
  </r>
  <r>
    <x v="0"/>
    <x v="63"/>
    <x v="63"/>
    <x v="113"/>
    <x v="113"/>
    <x v="113"/>
    <x v="9"/>
    <x v="244"/>
    <x v="131"/>
    <x v="59"/>
    <x v="11"/>
    <x v="42"/>
    <x v="42"/>
    <x v="0"/>
  </r>
  <r>
    <x v="0"/>
    <x v="63"/>
    <x v="63"/>
    <x v="23"/>
    <x v="23"/>
    <x v="23"/>
    <x v="9"/>
    <x v="244"/>
    <x v="131"/>
    <x v="59"/>
    <x v="11"/>
    <x v="42"/>
    <x v="42"/>
    <x v="0"/>
  </r>
  <r>
    <x v="0"/>
    <x v="63"/>
    <x v="63"/>
    <x v="11"/>
    <x v="11"/>
    <x v="11"/>
    <x v="9"/>
    <x v="244"/>
    <x v="131"/>
    <x v="59"/>
    <x v="11"/>
    <x v="42"/>
    <x v="42"/>
    <x v="0"/>
  </r>
  <r>
    <x v="0"/>
    <x v="63"/>
    <x v="63"/>
    <x v="10"/>
    <x v="10"/>
    <x v="10"/>
    <x v="9"/>
    <x v="244"/>
    <x v="131"/>
    <x v="59"/>
    <x v="11"/>
    <x v="42"/>
    <x v="42"/>
    <x v="0"/>
  </r>
  <r>
    <x v="0"/>
    <x v="63"/>
    <x v="63"/>
    <x v="58"/>
    <x v="58"/>
    <x v="58"/>
    <x v="9"/>
    <x v="244"/>
    <x v="131"/>
    <x v="59"/>
    <x v="11"/>
    <x v="42"/>
    <x v="42"/>
    <x v="0"/>
  </r>
  <r>
    <x v="0"/>
    <x v="63"/>
    <x v="63"/>
    <x v="1"/>
    <x v="1"/>
    <x v="1"/>
    <x v="9"/>
    <x v="244"/>
    <x v="131"/>
    <x v="140"/>
    <x v="542"/>
    <x v="60"/>
    <x v="99"/>
    <x v="0"/>
  </r>
  <r>
    <x v="0"/>
    <x v="63"/>
    <x v="63"/>
    <x v="5"/>
    <x v="5"/>
    <x v="5"/>
    <x v="9"/>
    <x v="244"/>
    <x v="131"/>
    <x v="59"/>
    <x v="11"/>
    <x v="42"/>
    <x v="42"/>
    <x v="0"/>
  </r>
  <r>
    <x v="0"/>
    <x v="63"/>
    <x v="63"/>
    <x v="64"/>
    <x v="64"/>
    <x v="64"/>
    <x v="9"/>
    <x v="244"/>
    <x v="131"/>
    <x v="162"/>
    <x v="236"/>
    <x v="44"/>
    <x v="383"/>
    <x v="0"/>
  </r>
  <r>
    <x v="0"/>
    <x v="63"/>
    <x v="63"/>
    <x v="28"/>
    <x v="28"/>
    <x v="28"/>
    <x v="9"/>
    <x v="244"/>
    <x v="131"/>
    <x v="59"/>
    <x v="11"/>
    <x v="42"/>
    <x v="42"/>
    <x v="0"/>
  </r>
  <r>
    <x v="0"/>
    <x v="63"/>
    <x v="63"/>
    <x v="6"/>
    <x v="6"/>
    <x v="6"/>
    <x v="9"/>
    <x v="244"/>
    <x v="131"/>
    <x v="59"/>
    <x v="11"/>
    <x v="42"/>
    <x v="42"/>
    <x v="0"/>
  </r>
  <r>
    <x v="0"/>
    <x v="64"/>
    <x v="64"/>
    <x v="7"/>
    <x v="7"/>
    <x v="7"/>
    <x v="0"/>
    <x v="229"/>
    <x v="355"/>
    <x v="162"/>
    <x v="236"/>
    <x v="40"/>
    <x v="404"/>
    <x v="0"/>
  </r>
  <r>
    <x v="0"/>
    <x v="64"/>
    <x v="64"/>
    <x v="0"/>
    <x v="0"/>
    <x v="0"/>
    <x v="1"/>
    <x v="237"/>
    <x v="356"/>
    <x v="66"/>
    <x v="543"/>
    <x v="42"/>
    <x v="42"/>
    <x v="0"/>
  </r>
  <r>
    <x v="0"/>
    <x v="64"/>
    <x v="64"/>
    <x v="11"/>
    <x v="11"/>
    <x v="11"/>
    <x v="2"/>
    <x v="240"/>
    <x v="236"/>
    <x v="47"/>
    <x v="544"/>
    <x v="42"/>
    <x v="42"/>
    <x v="0"/>
  </r>
  <r>
    <x v="0"/>
    <x v="64"/>
    <x v="64"/>
    <x v="12"/>
    <x v="12"/>
    <x v="12"/>
    <x v="2"/>
    <x v="240"/>
    <x v="236"/>
    <x v="68"/>
    <x v="137"/>
    <x v="60"/>
    <x v="405"/>
    <x v="0"/>
  </r>
  <r>
    <x v="0"/>
    <x v="64"/>
    <x v="64"/>
    <x v="23"/>
    <x v="23"/>
    <x v="23"/>
    <x v="4"/>
    <x v="241"/>
    <x v="96"/>
    <x v="68"/>
    <x v="137"/>
    <x v="42"/>
    <x v="42"/>
    <x v="0"/>
  </r>
  <r>
    <x v="0"/>
    <x v="64"/>
    <x v="64"/>
    <x v="5"/>
    <x v="5"/>
    <x v="5"/>
    <x v="4"/>
    <x v="241"/>
    <x v="96"/>
    <x v="68"/>
    <x v="137"/>
    <x v="42"/>
    <x v="42"/>
    <x v="0"/>
  </r>
  <r>
    <x v="0"/>
    <x v="64"/>
    <x v="64"/>
    <x v="50"/>
    <x v="50"/>
    <x v="50"/>
    <x v="4"/>
    <x v="241"/>
    <x v="96"/>
    <x v="162"/>
    <x v="236"/>
    <x v="55"/>
    <x v="406"/>
    <x v="0"/>
  </r>
  <r>
    <x v="0"/>
    <x v="64"/>
    <x v="64"/>
    <x v="34"/>
    <x v="34"/>
    <x v="34"/>
    <x v="4"/>
    <x v="241"/>
    <x v="96"/>
    <x v="68"/>
    <x v="137"/>
    <x v="42"/>
    <x v="42"/>
    <x v="0"/>
  </r>
  <r>
    <x v="0"/>
    <x v="64"/>
    <x v="64"/>
    <x v="17"/>
    <x v="17"/>
    <x v="17"/>
    <x v="8"/>
    <x v="242"/>
    <x v="182"/>
    <x v="77"/>
    <x v="457"/>
    <x v="51"/>
    <x v="407"/>
    <x v="0"/>
  </r>
  <r>
    <x v="0"/>
    <x v="64"/>
    <x v="64"/>
    <x v="19"/>
    <x v="19"/>
    <x v="19"/>
    <x v="8"/>
    <x v="242"/>
    <x v="182"/>
    <x v="49"/>
    <x v="45"/>
    <x v="42"/>
    <x v="42"/>
    <x v="0"/>
  </r>
  <r>
    <x v="0"/>
    <x v="64"/>
    <x v="64"/>
    <x v="54"/>
    <x v="54"/>
    <x v="54"/>
    <x v="8"/>
    <x v="242"/>
    <x v="182"/>
    <x v="49"/>
    <x v="45"/>
    <x v="42"/>
    <x v="42"/>
    <x v="0"/>
  </r>
  <r>
    <x v="0"/>
    <x v="64"/>
    <x v="64"/>
    <x v="8"/>
    <x v="8"/>
    <x v="8"/>
    <x v="8"/>
    <x v="242"/>
    <x v="182"/>
    <x v="67"/>
    <x v="460"/>
    <x v="60"/>
    <x v="405"/>
    <x v="0"/>
  </r>
  <r>
    <x v="0"/>
    <x v="64"/>
    <x v="64"/>
    <x v="1"/>
    <x v="1"/>
    <x v="1"/>
    <x v="8"/>
    <x v="242"/>
    <x v="182"/>
    <x v="59"/>
    <x v="81"/>
    <x v="60"/>
    <x v="405"/>
    <x v="0"/>
  </r>
  <r>
    <x v="0"/>
    <x v="64"/>
    <x v="64"/>
    <x v="22"/>
    <x v="22"/>
    <x v="22"/>
    <x v="8"/>
    <x v="242"/>
    <x v="182"/>
    <x v="67"/>
    <x v="460"/>
    <x v="60"/>
    <x v="405"/>
    <x v="0"/>
  </r>
  <r>
    <x v="0"/>
    <x v="64"/>
    <x v="64"/>
    <x v="14"/>
    <x v="14"/>
    <x v="14"/>
    <x v="14"/>
    <x v="243"/>
    <x v="176"/>
    <x v="77"/>
    <x v="457"/>
    <x v="44"/>
    <x v="408"/>
    <x v="0"/>
  </r>
  <r>
    <x v="0"/>
    <x v="64"/>
    <x v="64"/>
    <x v="27"/>
    <x v="27"/>
    <x v="27"/>
    <x v="14"/>
    <x v="243"/>
    <x v="176"/>
    <x v="67"/>
    <x v="460"/>
    <x v="42"/>
    <x v="42"/>
    <x v="0"/>
  </r>
  <r>
    <x v="0"/>
    <x v="64"/>
    <x v="64"/>
    <x v="51"/>
    <x v="51"/>
    <x v="51"/>
    <x v="14"/>
    <x v="243"/>
    <x v="176"/>
    <x v="140"/>
    <x v="414"/>
    <x v="51"/>
    <x v="407"/>
    <x v="0"/>
  </r>
  <r>
    <x v="0"/>
    <x v="64"/>
    <x v="64"/>
    <x v="25"/>
    <x v="25"/>
    <x v="25"/>
    <x v="14"/>
    <x v="243"/>
    <x v="176"/>
    <x v="77"/>
    <x v="457"/>
    <x v="44"/>
    <x v="408"/>
    <x v="0"/>
  </r>
  <r>
    <x v="0"/>
    <x v="64"/>
    <x v="64"/>
    <x v="6"/>
    <x v="6"/>
    <x v="6"/>
    <x v="14"/>
    <x v="243"/>
    <x v="176"/>
    <x v="67"/>
    <x v="460"/>
    <x v="42"/>
    <x v="42"/>
    <x v="0"/>
  </r>
  <r>
    <x v="0"/>
    <x v="64"/>
    <x v="64"/>
    <x v="18"/>
    <x v="18"/>
    <x v="18"/>
    <x v="14"/>
    <x v="243"/>
    <x v="176"/>
    <x v="67"/>
    <x v="460"/>
    <x v="42"/>
    <x v="42"/>
    <x v="0"/>
  </r>
  <r>
    <x v="0"/>
    <x v="65"/>
    <x v="65"/>
    <x v="7"/>
    <x v="7"/>
    <x v="7"/>
    <x v="0"/>
    <x v="240"/>
    <x v="357"/>
    <x v="162"/>
    <x v="236"/>
    <x v="45"/>
    <x v="409"/>
    <x v="0"/>
  </r>
  <r>
    <x v="0"/>
    <x v="65"/>
    <x v="65"/>
    <x v="0"/>
    <x v="0"/>
    <x v="0"/>
    <x v="0"/>
    <x v="240"/>
    <x v="357"/>
    <x v="68"/>
    <x v="545"/>
    <x v="60"/>
    <x v="410"/>
    <x v="0"/>
  </r>
  <r>
    <x v="0"/>
    <x v="65"/>
    <x v="65"/>
    <x v="4"/>
    <x v="4"/>
    <x v="4"/>
    <x v="2"/>
    <x v="241"/>
    <x v="358"/>
    <x v="68"/>
    <x v="545"/>
    <x v="42"/>
    <x v="42"/>
    <x v="0"/>
  </r>
  <r>
    <x v="0"/>
    <x v="65"/>
    <x v="65"/>
    <x v="26"/>
    <x v="26"/>
    <x v="26"/>
    <x v="3"/>
    <x v="242"/>
    <x v="359"/>
    <x v="162"/>
    <x v="236"/>
    <x v="46"/>
    <x v="411"/>
    <x v="0"/>
  </r>
  <r>
    <x v="0"/>
    <x v="65"/>
    <x v="65"/>
    <x v="11"/>
    <x v="11"/>
    <x v="11"/>
    <x v="4"/>
    <x v="243"/>
    <x v="80"/>
    <x v="67"/>
    <x v="527"/>
    <x v="42"/>
    <x v="42"/>
    <x v="0"/>
  </r>
  <r>
    <x v="0"/>
    <x v="65"/>
    <x v="65"/>
    <x v="51"/>
    <x v="51"/>
    <x v="51"/>
    <x v="4"/>
    <x v="243"/>
    <x v="80"/>
    <x v="162"/>
    <x v="236"/>
    <x v="58"/>
    <x v="412"/>
    <x v="0"/>
  </r>
  <r>
    <x v="0"/>
    <x v="65"/>
    <x v="65"/>
    <x v="21"/>
    <x v="21"/>
    <x v="21"/>
    <x v="6"/>
    <x v="244"/>
    <x v="360"/>
    <x v="77"/>
    <x v="479"/>
    <x v="60"/>
    <x v="410"/>
    <x v="0"/>
  </r>
  <r>
    <x v="0"/>
    <x v="65"/>
    <x v="65"/>
    <x v="10"/>
    <x v="10"/>
    <x v="10"/>
    <x v="6"/>
    <x v="244"/>
    <x v="360"/>
    <x v="59"/>
    <x v="546"/>
    <x v="42"/>
    <x v="42"/>
    <x v="0"/>
  </r>
  <r>
    <x v="0"/>
    <x v="65"/>
    <x v="65"/>
    <x v="54"/>
    <x v="54"/>
    <x v="54"/>
    <x v="6"/>
    <x v="244"/>
    <x v="360"/>
    <x v="77"/>
    <x v="479"/>
    <x v="60"/>
    <x v="410"/>
    <x v="0"/>
  </r>
  <r>
    <x v="0"/>
    <x v="65"/>
    <x v="65"/>
    <x v="18"/>
    <x v="18"/>
    <x v="18"/>
    <x v="6"/>
    <x v="244"/>
    <x v="360"/>
    <x v="59"/>
    <x v="546"/>
    <x v="42"/>
    <x v="42"/>
    <x v="0"/>
  </r>
  <r>
    <x v="0"/>
    <x v="65"/>
    <x v="65"/>
    <x v="82"/>
    <x v="82"/>
    <x v="82"/>
    <x v="10"/>
    <x v="245"/>
    <x v="233"/>
    <x v="162"/>
    <x v="236"/>
    <x v="44"/>
    <x v="413"/>
    <x v="0"/>
  </r>
  <r>
    <x v="0"/>
    <x v="65"/>
    <x v="65"/>
    <x v="114"/>
    <x v="114"/>
    <x v="114"/>
    <x v="10"/>
    <x v="245"/>
    <x v="233"/>
    <x v="162"/>
    <x v="236"/>
    <x v="44"/>
    <x v="413"/>
    <x v="0"/>
  </r>
  <r>
    <x v="0"/>
    <x v="65"/>
    <x v="65"/>
    <x v="33"/>
    <x v="33"/>
    <x v="33"/>
    <x v="10"/>
    <x v="245"/>
    <x v="233"/>
    <x v="162"/>
    <x v="236"/>
    <x v="44"/>
    <x v="413"/>
    <x v="0"/>
  </r>
  <r>
    <x v="0"/>
    <x v="65"/>
    <x v="65"/>
    <x v="19"/>
    <x v="19"/>
    <x v="19"/>
    <x v="10"/>
    <x v="245"/>
    <x v="233"/>
    <x v="77"/>
    <x v="479"/>
    <x v="42"/>
    <x v="42"/>
    <x v="0"/>
  </r>
  <r>
    <x v="0"/>
    <x v="65"/>
    <x v="65"/>
    <x v="109"/>
    <x v="109"/>
    <x v="109"/>
    <x v="10"/>
    <x v="245"/>
    <x v="233"/>
    <x v="77"/>
    <x v="479"/>
    <x v="42"/>
    <x v="42"/>
    <x v="0"/>
  </r>
  <r>
    <x v="0"/>
    <x v="65"/>
    <x v="65"/>
    <x v="23"/>
    <x v="23"/>
    <x v="23"/>
    <x v="10"/>
    <x v="245"/>
    <x v="233"/>
    <x v="140"/>
    <x v="473"/>
    <x v="60"/>
    <x v="410"/>
    <x v="0"/>
  </r>
  <r>
    <x v="0"/>
    <x v="65"/>
    <x v="65"/>
    <x v="8"/>
    <x v="8"/>
    <x v="8"/>
    <x v="10"/>
    <x v="245"/>
    <x v="233"/>
    <x v="140"/>
    <x v="473"/>
    <x v="60"/>
    <x v="410"/>
    <x v="0"/>
  </r>
  <r>
    <x v="0"/>
    <x v="65"/>
    <x v="65"/>
    <x v="25"/>
    <x v="25"/>
    <x v="25"/>
    <x v="10"/>
    <x v="245"/>
    <x v="233"/>
    <x v="77"/>
    <x v="479"/>
    <x v="42"/>
    <x v="42"/>
    <x v="0"/>
  </r>
  <r>
    <x v="0"/>
    <x v="65"/>
    <x v="65"/>
    <x v="5"/>
    <x v="5"/>
    <x v="5"/>
    <x v="10"/>
    <x v="245"/>
    <x v="233"/>
    <x v="140"/>
    <x v="473"/>
    <x v="60"/>
    <x v="410"/>
    <x v="0"/>
  </r>
  <r>
    <x v="0"/>
    <x v="65"/>
    <x v="65"/>
    <x v="92"/>
    <x v="92"/>
    <x v="92"/>
    <x v="10"/>
    <x v="245"/>
    <x v="233"/>
    <x v="77"/>
    <x v="479"/>
    <x v="42"/>
    <x v="42"/>
    <x v="0"/>
  </r>
  <r>
    <x v="0"/>
    <x v="65"/>
    <x v="65"/>
    <x v="28"/>
    <x v="28"/>
    <x v="28"/>
    <x v="10"/>
    <x v="245"/>
    <x v="233"/>
    <x v="140"/>
    <x v="473"/>
    <x v="60"/>
    <x v="410"/>
    <x v="0"/>
  </r>
  <r>
    <x v="0"/>
    <x v="65"/>
    <x v="65"/>
    <x v="9"/>
    <x v="9"/>
    <x v="9"/>
    <x v="10"/>
    <x v="245"/>
    <x v="233"/>
    <x v="77"/>
    <x v="479"/>
    <x v="42"/>
    <x v="42"/>
    <x v="0"/>
  </r>
  <r>
    <x v="0"/>
    <x v="65"/>
    <x v="65"/>
    <x v="6"/>
    <x v="6"/>
    <x v="6"/>
    <x v="10"/>
    <x v="245"/>
    <x v="233"/>
    <x v="77"/>
    <x v="479"/>
    <x v="42"/>
    <x v="42"/>
    <x v="0"/>
  </r>
  <r>
    <x v="0"/>
    <x v="66"/>
    <x v="66"/>
    <x v="7"/>
    <x v="7"/>
    <x v="7"/>
    <x v="0"/>
    <x v="55"/>
    <x v="361"/>
    <x v="59"/>
    <x v="263"/>
    <x v="22"/>
    <x v="414"/>
    <x v="0"/>
  </r>
  <r>
    <x v="0"/>
    <x v="66"/>
    <x v="66"/>
    <x v="0"/>
    <x v="0"/>
    <x v="0"/>
    <x v="1"/>
    <x v="65"/>
    <x v="362"/>
    <x v="75"/>
    <x v="547"/>
    <x v="44"/>
    <x v="147"/>
    <x v="0"/>
  </r>
  <r>
    <x v="0"/>
    <x v="66"/>
    <x v="66"/>
    <x v="4"/>
    <x v="4"/>
    <x v="4"/>
    <x v="2"/>
    <x v="78"/>
    <x v="363"/>
    <x v="79"/>
    <x v="548"/>
    <x v="42"/>
    <x v="42"/>
    <x v="0"/>
  </r>
  <r>
    <x v="0"/>
    <x v="66"/>
    <x v="66"/>
    <x v="11"/>
    <x v="11"/>
    <x v="11"/>
    <x v="3"/>
    <x v="237"/>
    <x v="364"/>
    <x v="80"/>
    <x v="193"/>
    <x v="44"/>
    <x v="147"/>
    <x v="0"/>
  </r>
  <r>
    <x v="0"/>
    <x v="66"/>
    <x v="66"/>
    <x v="2"/>
    <x v="2"/>
    <x v="2"/>
    <x v="3"/>
    <x v="237"/>
    <x v="364"/>
    <x v="66"/>
    <x v="549"/>
    <x v="42"/>
    <x v="42"/>
    <x v="0"/>
  </r>
  <r>
    <x v="0"/>
    <x v="66"/>
    <x v="66"/>
    <x v="17"/>
    <x v="17"/>
    <x v="17"/>
    <x v="5"/>
    <x v="234"/>
    <x v="206"/>
    <x v="49"/>
    <x v="429"/>
    <x v="46"/>
    <x v="415"/>
    <x v="0"/>
  </r>
  <r>
    <x v="0"/>
    <x v="66"/>
    <x v="66"/>
    <x v="1"/>
    <x v="1"/>
    <x v="1"/>
    <x v="5"/>
    <x v="234"/>
    <x v="206"/>
    <x v="47"/>
    <x v="155"/>
    <x v="51"/>
    <x v="292"/>
    <x v="0"/>
  </r>
  <r>
    <x v="0"/>
    <x v="66"/>
    <x v="66"/>
    <x v="18"/>
    <x v="18"/>
    <x v="18"/>
    <x v="5"/>
    <x v="234"/>
    <x v="206"/>
    <x v="80"/>
    <x v="193"/>
    <x v="42"/>
    <x v="42"/>
    <x v="0"/>
  </r>
  <r>
    <x v="0"/>
    <x v="66"/>
    <x v="66"/>
    <x v="14"/>
    <x v="14"/>
    <x v="14"/>
    <x v="8"/>
    <x v="235"/>
    <x v="21"/>
    <x v="77"/>
    <x v="268"/>
    <x v="45"/>
    <x v="416"/>
    <x v="0"/>
  </r>
  <r>
    <x v="0"/>
    <x v="66"/>
    <x v="66"/>
    <x v="54"/>
    <x v="54"/>
    <x v="54"/>
    <x v="8"/>
    <x v="235"/>
    <x v="21"/>
    <x v="68"/>
    <x v="550"/>
    <x v="51"/>
    <x v="292"/>
    <x v="0"/>
  </r>
  <r>
    <x v="0"/>
    <x v="66"/>
    <x v="66"/>
    <x v="5"/>
    <x v="5"/>
    <x v="5"/>
    <x v="10"/>
    <x v="240"/>
    <x v="70"/>
    <x v="59"/>
    <x v="263"/>
    <x v="58"/>
    <x v="183"/>
    <x v="0"/>
  </r>
  <r>
    <x v="0"/>
    <x v="66"/>
    <x v="66"/>
    <x v="24"/>
    <x v="24"/>
    <x v="24"/>
    <x v="11"/>
    <x v="241"/>
    <x v="9"/>
    <x v="68"/>
    <x v="550"/>
    <x v="42"/>
    <x v="42"/>
    <x v="0"/>
  </r>
  <r>
    <x v="0"/>
    <x v="66"/>
    <x v="66"/>
    <x v="10"/>
    <x v="10"/>
    <x v="10"/>
    <x v="11"/>
    <x v="241"/>
    <x v="9"/>
    <x v="67"/>
    <x v="531"/>
    <x v="44"/>
    <x v="147"/>
    <x v="0"/>
  </r>
  <r>
    <x v="0"/>
    <x v="66"/>
    <x v="66"/>
    <x v="27"/>
    <x v="27"/>
    <x v="27"/>
    <x v="13"/>
    <x v="242"/>
    <x v="254"/>
    <x v="49"/>
    <x v="429"/>
    <x v="42"/>
    <x v="42"/>
    <x v="0"/>
  </r>
  <r>
    <x v="0"/>
    <x v="66"/>
    <x v="66"/>
    <x v="8"/>
    <x v="8"/>
    <x v="8"/>
    <x v="13"/>
    <x v="242"/>
    <x v="254"/>
    <x v="59"/>
    <x v="263"/>
    <x v="44"/>
    <x v="147"/>
    <x v="0"/>
  </r>
  <r>
    <x v="0"/>
    <x v="66"/>
    <x v="66"/>
    <x v="12"/>
    <x v="12"/>
    <x v="12"/>
    <x v="13"/>
    <x v="242"/>
    <x v="254"/>
    <x v="67"/>
    <x v="531"/>
    <x v="60"/>
    <x v="86"/>
    <x v="0"/>
  </r>
  <r>
    <x v="0"/>
    <x v="66"/>
    <x v="66"/>
    <x v="68"/>
    <x v="68"/>
    <x v="68"/>
    <x v="13"/>
    <x v="242"/>
    <x v="254"/>
    <x v="49"/>
    <x v="429"/>
    <x v="42"/>
    <x v="42"/>
    <x v="0"/>
  </r>
  <r>
    <x v="0"/>
    <x v="66"/>
    <x v="66"/>
    <x v="82"/>
    <x v="82"/>
    <x v="82"/>
    <x v="17"/>
    <x v="243"/>
    <x v="114"/>
    <x v="162"/>
    <x v="236"/>
    <x v="58"/>
    <x v="183"/>
    <x v="0"/>
  </r>
  <r>
    <x v="0"/>
    <x v="66"/>
    <x v="66"/>
    <x v="21"/>
    <x v="21"/>
    <x v="21"/>
    <x v="17"/>
    <x v="243"/>
    <x v="114"/>
    <x v="140"/>
    <x v="13"/>
    <x v="51"/>
    <x v="292"/>
    <x v="0"/>
  </r>
  <r>
    <x v="0"/>
    <x v="66"/>
    <x v="66"/>
    <x v="113"/>
    <x v="113"/>
    <x v="113"/>
    <x v="17"/>
    <x v="243"/>
    <x v="114"/>
    <x v="67"/>
    <x v="531"/>
    <x v="42"/>
    <x v="42"/>
    <x v="0"/>
  </r>
  <r>
    <x v="0"/>
    <x v="66"/>
    <x v="66"/>
    <x v="51"/>
    <x v="51"/>
    <x v="51"/>
    <x v="17"/>
    <x v="243"/>
    <x v="114"/>
    <x v="77"/>
    <x v="268"/>
    <x v="44"/>
    <x v="147"/>
    <x v="0"/>
  </r>
  <r>
    <x v="0"/>
    <x v="66"/>
    <x v="66"/>
    <x v="28"/>
    <x v="28"/>
    <x v="28"/>
    <x v="17"/>
    <x v="243"/>
    <x v="114"/>
    <x v="140"/>
    <x v="13"/>
    <x v="51"/>
    <x v="292"/>
    <x v="0"/>
  </r>
  <r>
    <x v="0"/>
    <x v="66"/>
    <x v="66"/>
    <x v="9"/>
    <x v="9"/>
    <x v="9"/>
    <x v="17"/>
    <x v="243"/>
    <x v="114"/>
    <x v="67"/>
    <x v="531"/>
    <x v="42"/>
    <x v="42"/>
    <x v="0"/>
  </r>
  <r>
    <x v="0"/>
    <x v="66"/>
    <x v="66"/>
    <x v="6"/>
    <x v="6"/>
    <x v="6"/>
    <x v="17"/>
    <x v="243"/>
    <x v="114"/>
    <x v="67"/>
    <x v="531"/>
    <x v="42"/>
    <x v="42"/>
    <x v="0"/>
  </r>
  <r>
    <x v="0"/>
    <x v="67"/>
    <x v="67"/>
    <x v="7"/>
    <x v="7"/>
    <x v="7"/>
    <x v="0"/>
    <x v="77"/>
    <x v="365"/>
    <x v="47"/>
    <x v="392"/>
    <x v="64"/>
    <x v="417"/>
    <x v="0"/>
  </r>
  <r>
    <x v="0"/>
    <x v="67"/>
    <x v="67"/>
    <x v="0"/>
    <x v="0"/>
    <x v="0"/>
    <x v="1"/>
    <x v="240"/>
    <x v="366"/>
    <x v="49"/>
    <x v="551"/>
    <x v="44"/>
    <x v="418"/>
    <x v="0"/>
  </r>
  <r>
    <x v="0"/>
    <x v="67"/>
    <x v="67"/>
    <x v="33"/>
    <x v="33"/>
    <x v="33"/>
    <x v="2"/>
    <x v="242"/>
    <x v="35"/>
    <x v="59"/>
    <x v="250"/>
    <x v="44"/>
    <x v="418"/>
    <x v="0"/>
  </r>
  <r>
    <x v="0"/>
    <x v="67"/>
    <x v="67"/>
    <x v="12"/>
    <x v="12"/>
    <x v="12"/>
    <x v="2"/>
    <x v="242"/>
    <x v="35"/>
    <x v="49"/>
    <x v="551"/>
    <x v="42"/>
    <x v="42"/>
    <x v="0"/>
  </r>
  <r>
    <x v="0"/>
    <x v="67"/>
    <x v="67"/>
    <x v="4"/>
    <x v="4"/>
    <x v="4"/>
    <x v="2"/>
    <x v="242"/>
    <x v="35"/>
    <x v="49"/>
    <x v="551"/>
    <x v="42"/>
    <x v="42"/>
    <x v="0"/>
  </r>
  <r>
    <x v="0"/>
    <x v="67"/>
    <x v="67"/>
    <x v="82"/>
    <x v="82"/>
    <x v="82"/>
    <x v="5"/>
    <x v="243"/>
    <x v="367"/>
    <x v="59"/>
    <x v="250"/>
    <x v="60"/>
    <x v="78"/>
    <x v="0"/>
  </r>
  <r>
    <x v="0"/>
    <x v="67"/>
    <x v="67"/>
    <x v="10"/>
    <x v="10"/>
    <x v="10"/>
    <x v="5"/>
    <x v="243"/>
    <x v="367"/>
    <x v="77"/>
    <x v="1"/>
    <x v="44"/>
    <x v="418"/>
    <x v="0"/>
  </r>
  <r>
    <x v="0"/>
    <x v="67"/>
    <x v="67"/>
    <x v="28"/>
    <x v="28"/>
    <x v="28"/>
    <x v="5"/>
    <x v="243"/>
    <x v="367"/>
    <x v="59"/>
    <x v="250"/>
    <x v="60"/>
    <x v="78"/>
    <x v="0"/>
  </r>
  <r>
    <x v="0"/>
    <x v="67"/>
    <x v="67"/>
    <x v="18"/>
    <x v="18"/>
    <x v="18"/>
    <x v="5"/>
    <x v="243"/>
    <x v="367"/>
    <x v="67"/>
    <x v="552"/>
    <x v="42"/>
    <x v="42"/>
    <x v="0"/>
  </r>
  <r>
    <x v="0"/>
    <x v="67"/>
    <x v="67"/>
    <x v="48"/>
    <x v="48"/>
    <x v="48"/>
    <x v="9"/>
    <x v="244"/>
    <x v="312"/>
    <x v="140"/>
    <x v="376"/>
    <x v="44"/>
    <x v="418"/>
    <x v="0"/>
  </r>
  <r>
    <x v="0"/>
    <x v="67"/>
    <x v="67"/>
    <x v="8"/>
    <x v="8"/>
    <x v="8"/>
    <x v="9"/>
    <x v="244"/>
    <x v="312"/>
    <x v="77"/>
    <x v="1"/>
    <x v="60"/>
    <x v="78"/>
    <x v="0"/>
  </r>
  <r>
    <x v="0"/>
    <x v="67"/>
    <x v="67"/>
    <x v="14"/>
    <x v="14"/>
    <x v="14"/>
    <x v="11"/>
    <x v="245"/>
    <x v="238"/>
    <x v="77"/>
    <x v="1"/>
    <x v="42"/>
    <x v="42"/>
    <x v="0"/>
  </r>
  <r>
    <x v="0"/>
    <x v="67"/>
    <x v="67"/>
    <x v="21"/>
    <x v="21"/>
    <x v="21"/>
    <x v="11"/>
    <x v="245"/>
    <x v="238"/>
    <x v="140"/>
    <x v="376"/>
    <x v="60"/>
    <x v="78"/>
    <x v="0"/>
  </r>
  <r>
    <x v="0"/>
    <x v="67"/>
    <x v="67"/>
    <x v="115"/>
    <x v="115"/>
    <x v="115"/>
    <x v="11"/>
    <x v="245"/>
    <x v="238"/>
    <x v="162"/>
    <x v="236"/>
    <x v="42"/>
    <x v="42"/>
    <x v="0"/>
  </r>
  <r>
    <x v="0"/>
    <x v="67"/>
    <x v="67"/>
    <x v="27"/>
    <x v="27"/>
    <x v="27"/>
    <x v="11"/>
    <x v="245"/>
    <x v="238"/>
    <x v="77"/>
    <x v="1"/>
    <x v="42"/>
    <x v="42"/>
    <x v="0"/>
  </r>
  <r>
    <x v="0"/>
    <x v="67"/>
    <x v="67"/>
    <x v="11"/>
    <x v="11"/>
    <x v="11"/>
    <x v="11"/>
    <x v="245"/>
    <x v="238"/>
    <x v="77"/>
    <x v="1"/>
    <x v="42"/>
    <x v="42"/>
    <x v="0"/>
  </r>
  <r>
    <x v="0"/>
    <x v="67"/>
    <x v="67"/>
    <x v="105"/>
    <x v="105"/>
    <x v="105"/>
    <x v="11"/>
    <x v="245"/>
    <x v="238"/>
    <x v="77"/>
    <x v="1"/>
    <x v="42"/>
    <x v="42"/>
    <x v="0"/>
  </r>
  <r>
    <x v="0"/>
    <x v="67"/>
    <x v="67"/>
    <x v="116"/>
    <x v="116"/>
    <x v="116"/>
    <x v="11"/>
    <x v="245"/>
    <x v="238"/>
    <x v="162"/>
    <x v="236"/>
    <x v="44"/>
    <x v="418"/>
    <x v="0"/>
  </r>
  <r>
    <x v="0"/>
    <x v="67"/>
    <x v="67"/>
    <x v="92"/>
    <x v="92"/>
    <x v="92"/>
    <x v="11"/>
    <x v="245"/>
    <x v="238"/>
    <x v="140"/>
    <x v="376"/>
    <x v="60"/>
    <x v="78"/>
    <x v="0"/>
  </r>
  <r>
    <x v="0"/>
    <x v="67"/>
    <x v="67"/>
    <x v="50"/>
    <x v="50"/>
    <x v="50"/>
    <x v="11"/>
    <x v="245"/>
    <x v="238"/>
    <x v="162"/>
    <x v="236"/>
    <x v="44"/>
    <x v="418"/>
    <x v="0"/>
  </r>
  <r>
    <x v="0"/>
    <x v="68"/>
    <x v="68"/>
    <x v="7"/>
    <x v="7"/>
    <x v="7"/>
    <x v="0"/>
    <x v="237"/>
    <x v="368"/>
    <x v="76"/>
    <x v="553"/>
    <x v="58"/>
    <x v="419"/>
    <x v="0"/>
  </r>
  <r>
    <x v="0"/>
    <x v="68"/>
    <x v="68"/>
    <x v="11"/>
    <x v="11"/>
    <x v="11"/>
    <x v="1"/>
    <x v="240"/>
    <x v="369"/>
    <x v="47"/>
    <x v="554"/>
    <x v="42"/>
    <x v="42"/>
    <x v="0"/>
  </r>
  <r>
    <x v="0"/>
    <x v="68"/>
    <x v="68"/>
    <x v="21"/>
    <x v="21"/>
    <x v="21"/>
    <x v="2"/>
    <x v="243"/>
    <x v="250"/>
    <x v="67"/>
    <x v="527"/>
    <x v="42"/>
    <x v="42"/>
    <x v="0"/>
  </r>
  <r>
    <x v="0"/>
    <x v="68"/>
    <x v="68"/>
    <x v="10"/>
    <x v="10"/>
    <x v="10"/>
    <x v="3"/>
    <x v="244"/>
    <x v="370"/>
    <x v="59"/>
    <x v="546"/>
    <x v="42"/>
    <x v="42"/>
    <x v="0"/>
  </r>
  <r>
    <x v="0"/>
    <x v="68"/>
    <x v="68"/>
    <x v="50"/>
    <x v="50"/>
    <x v="50"/>
    <x v="3"/>
    <x v="244"/>
    <x v="370"/>
    <x v="162"/>
    <x v="236"/>
    <x v="51"/>
    <x v="420"/>
    <x v="0"/>
  </r>
  <r>
    <x v="0"/>
    <x v="68"/>
    <x v="68"/>
    <x v="82"/>
    <x v="82"/>
    <x v="82"/>
    <x v="5"/>
    <x v="245"/>
    <x v="275"/>
    <x v="140"/>
    <x v="473"/>
    <x v="60"/>
    <x v="421"/>
    <x v="0"/>
  </r>
  <r>
    <x v="0"/>
    <x v="68"/>
    <x v="68"/>
    <x v="26"/>
    <x v="26"/>
    <x v="26"/>
    <x v="5"/>
    <x v="245"/>
    <x v="275"/>
    <x v="77"/>
    <x v="479"/>
    <x v="42"/>
    <x v="42"/>
    <x v="0"/>
  </r>
  <r>
    <x v="0"/>
    <x v="68"/>
    <x v="68"/>
    <x v="97"/>
    <x v="97"/>
    <x v="97"/>
    <x v="5"/>
    <x v="245"/>
    <x v="275"/>
    <x v="162"/>
    <x v="236"/>
    <x v="44"/>
    <x v="422"/>
    <x v="0"/>
  </r>
  <r>
    <x v="0"/>
    <x v="68"/>
    <x v="68"/>
    <x v="12"/>
    <x v="12"/>
    <x v="12"/>
    <x v="5"/>
    <x v="245"/>
    <x v="275"/>
    <x v="77"/>
    <x v="479"/>
    <x v="42"/>
    <x v="42"/>
    <x v="0"/>
  </r>
  <r>
    <x v="0"/>
    <x v="68"/>
    <x v="68"/>
    <x v="2"/>
    <x v="2"/>
    <x v="2"/>
    <x v="5"/>
    <x v="245"/>
    <x v="275"/>
    <x v="77"/>
    <x v="479"/>
    <x v="42"/>
    <x v="42"/>
    <x v="0"/>
  </r>
  <r>
    <x v="0"/>
    <x v="68"/>
    <x v="68"/>
    <x v="22"/>
    <x v="22"/>
    <x v="22"/>
    <x v="5"/>
    <x v="245"/>
    <x v="275"/>
    <x v="77"/>
    <x v="479"/>
    <x v="42"/>
    <x v="42"/>
    <x v="0"/>
  </r>
  <r>
    <x v="0"/>
    <x v="68"/>
    <x v="68"/>
    <x v="117"/>
    <x v="117"/>
    <x v="117"/>
    <x v="5"/>
    <x v="245"/>
    <x v="275"/>
    <x v="162"/>
    <x v="236"/>
    <x v="60"/>
    <x v="421"/>
    <x v="0"/>
  </r>
  <r>
    <x v="0"/>
    <x v="68"/>
    <x v="68"/>
    <x v="14"/>
    <x v="14"/>
    <x v="14"/>
    <x v="12"/>
    <x v="246"/>
    <x v="88"/>
    <x v="162"/>
    <x v="236"/>
    <x v="60"/>
    <x v="421"/>
    <x v="0"/>
  </r>
  <r>
    <x v="0"/>
    <x v="68"/>
    <x v="68"/>
    <x v="33"/>
    <x v="33"/>
    <x v="33"/>
    <x v="12"/>
    <x v="246"/>
    <x v="88"/>
    <x v="140"/>
    <x v="473"/>
    <x v="42"/>
    <x v="42"/>
    <x v="0"/>
  </r>
  <r>
    <x v="0"/>
    <x v="68"/>
    <x v="68"/>
    <x v="49"/>
    <x v="49"/>
    <x v="49"/>
    <x v="12"/>
    <x v="246"/>
    <x v="88"/>
    <x v="140"/>
    <x v="473"/>
    <x v="42"/>
    <x v="42"/>
    <x v="0"/>
  </r>
  <r>
    <x v="0"/>
    <x v="68"/>
    <x v="68"/>
    <x v="17"/>
    <x v="17"/>
    <x v="17"/>
    <x v="12"/>
    <x v="246"/>
    <x v="88"/>
    <x v="140"/>
    <x v="473"/>
    <x v="42"/>
    <x v="42"/>
    <x v="0"/>
  </r>
  <r>
    <x v="0"/>
    <x v="68"/>
    <x v="68"/>
    <x v="69"/>
    <x v="69"/>
    <x v="69"/>
    <x v="12"/>
    <x v="246"/>
    <x v="88"/>
    <x v="140"/>
    <x v="473"/>
    <x v="42"/>
    <x v="42"/>
    <x v="0"/>
  </r>
  <r>
    <x v="0"/>
    <x v="68"/>
    <x v="68"/>
    <x v="62"/>
    <x v="62"/>
    <x v="62"/>
    <x v="12"/>
    <x v="246"/>
    <x v="88"/>
    <x v="162"/>
    <x v="236"/>
    <x v="60"/>
    <x v="421"/>
    <x v="0"/>
  </r>
  <r>
    <x v="0"/>
    <x v="68"/>
    <x v="68"/>
    <x v="94"/>
    <x v="94"/>
    <x v="94"/>
    <x v="12"/>
    <x v="246"/>
    <x v="88"/>
    <x v="162"/>
    <x v="236"/>
    <x v="60"/>
    <x v="421"/>
    <x v="0"/>
  </r>
  <r>
    <x v="0"/>
    <x v="68"/>
    <x v="68"/>
    <x v="118"/>
    <x v="118"/>
    <x v="118"/>
    <x v="12"/>
    <x v="246"/>
    <x v="88"/>
    <x v="162"/>
    <x v="236"/>
    <x v="60"/>
    <x v="421"/>
    <x v="0"/>
  </r>
  <r>
    <x v="0"/>
    <x v="68"/>
    <x v="68"/>
    <x v="115"/>
    <x v="115"/>
    <x v="115"/>
    <x v="12"/>
    <x v="246"/>
    <x v="88"/>
    <x v="162"/>
    <x v="236"/>
    <x v="42"/>
    <x v="42"/>
    <x v="0"/>
  </r>
  <r>
    <x v="0"/>
    <x v="68"/>
    <x v="68"/>
    <x v="119"/>
    <x v="83"/>
    <x v="119"/>
    <x v="12"/>
    <x v="246"/>
    <x v="88"/>
    <x v="162"/>
    <x v="236"/>
    <x v="60"/>
    <x v="421"/>
    <x v="0"/>
  </r>
  <r>
    <x v="0"/>
    <x v="68"/>
    <x v="68"/>
    <x v="113"/>
    <x v="113"/>
    <x v="113"/>
    <x v="12"/>
    <x v="246"/>
    <x v="88"/>
    <x v="140"/>
    <x v="473"/>
    <x v="42"/>
    <x v="42"/>
    <x v="0"/>
  </r>
  <r>
    <x v="0"/>
    <x v="68"/>
    <x v="68"/>
    <x v="27"/>
    <x v="27"/>
    <x v="27"/>
    <x v="12"/>
    <x v="246"/>
    <x v="88"/>
    <x v="140"/>
    <x v="473"/>
    <x v="42"/>
    <x v="42"/>
    <x v="0"/>
  </r>
  <r>
    <x v="0"/>
    <x v="68"/>
    <x v="68"/>
    <x v="23"/>
    <x v="23"/>
    <x v="23"/>
    <x v="12"/>
    <x v="246"/>
    <x v="88"/>
    <x v="140"/>
    <x v="473"/>
    <x v="42"/>
    <x v="42"/>
    <x v="0"/>
  </r>
  <r>
    <x v="0"/>
    <x v="68"/>
    <x v="68"/>
    <x v="58"/>
    <x v="58"/>
    <x v="58"/>
    <x v="12"/>
    <x v="246"/>
    <x v="88"/>
    <x v="140"/>
    <x v="473"/>
    <x v="42"/>
    <x v="42"/>
    <x v="0"/>
  </r>
  <r>
    <x v="0"/>
    <x v="68"/>
    <x v="68"/>
    <x v="71"/>
    <x v="71"/>
    <x v="71"/>
    <x v="12"/>
    <x v="246"/>
    <x v="88"/>
    <x v="162"/>
    <x v="236"/>
    <x v="60"/>
    <x v="421"/>
    <x v="0"/>
  </r>
  <r>
    <x v="0"/>
    <x v="68"/>
    <x v="68"/>
    <x v="51"/>
    <x v="51"/>
    <x v="51"/>
    <x v="12"/>
    <x v="246"/>
    <x v="88"/>
    <x v="162"/>
    <x v="236"/>
    <x v="60"/>
    <x v="421"/>
    <x v="0"/>
  </r>
  <r>
    <x v="0"/>
    <x v="68"/>
    <x v="68"/>
    <x v="120"/>
    <x v="119"/>
    <x v="120"/>
    <x v="12"/>
    <x v="246"/>
    <x v="88"/>
    <x v="140"/>
    <x v="473"/>
    <x v="42"/>
    <x v="42"/>
    <x v="0"/>
  </r>
  <r>
    <x v="0"/>
    <x v="68"/>
    <x v="68"/>
    <x v="121"/>
    <x v="120"/>
    <x v="121"/>
    <x v="12"/>
    <x v="246"/>
    <x v="88"/>
    <x v="140"/>
    <x v="473"/>
    <x v="42"/>
    <x v="42"/>
    <x v="0"/>
  </r>
  <r>
    <x v="0"/>
    <x v="68"/>
    <x v="68"/>
    <x v="25"/>
    <x v="25"/>
    <x v="25"/>
    <x v="12"/>
    <x v="246"/>
    <x v="88"/>
    <x v="140"/>
    <x v="473"/>
    <x v="42"/>
    <x v="42"/>
    <x v="0"/>
  </r>
  <r>
    <x v="0"/>
    <x v="68"/>
    <x v="68"/>
    <x v="5"/>
    <x v="5"/>
    <x v="5"/>
    <x v="12"/>
    <x v="246"/>
    <x v="88"/>
    <x v="162"/>
    <x v="236"/>
    <x v="60"/>
    <x v="421"/>
    <x v="0"/>
  </r>
  <r>
    <x v="0"/>
    <x v="68"/>
    <x v="68"/>
    <x v="76"/>
    <x v="76"/>
    <x v="76"/>
    <x v="12"/>
    <x v="246"/>
    <x v="88"/>
    <x v="140"/>
    <x v="473"/>
    <x v="42"/>
    <x v="42"/>
    <x v="0"/>
  </r>
  <r>
    <x v="0"/>
    <x v="68"/>
    <x v="68"/>
    <x v="64"/>
    <x v="64"/>
    <x v="64"/>
    <x v="12"/>
    <x v="246"/>
    <x v="88"/>
    <x v="140"/>
    <x v="473"/>
    <x v="42"/>
    <x v="42"/>
    <x v="0"/>
  </r>
  <r>
    <x v="0"/>
    <x v="68"/>
    <x v="68"/>
    <x v="28"/>
    <x v="28"/>
    <x v="28"/>
    <x v="12"/>
    <x v="246"/>
    <x v="88"/>
    <x v="140"/>
    <x v="473"/>
    <x v="42"/>
    <x v="42"/>
    <x v="0"/>
  </r>
  <r>
    <x v="0"/>
    <x v="68"/>
    <x v="68"/>
    <x v="4"/>
    <x v="4"/>
    <x v="4"/>
    <x v="12"/>
    <x v="246"/>
    <x v="88"/>
    <x v="140"/>
    <x v="473"/>
    <x v="42"/>
    <x v="42"/>
    <x v="0"/>
  </r>
  <r>
    <x v="0"/>
    <x v="68"/>
    <x v="68"/>
    <x v="0"/>
    <x v="0"/>
    <x v="0"/>
    <x v="12"/>
    <x v="246"/>
    <x v="88"/>
    <x v="140"/>
    <x v="473"/>
    <x v="42"/>
    <x v="42"/>
    <x v="0"/>
  </r>
  <r>
    <x v="0"/>
    <x v="68"/>
    <x v="68"/>
    <x v="68"/>
    <x v="68"/>
    <x v="68"/>
    <x v="12"/>
    <x v="246"/>
    <x v="88"/>
    <x v="140"/>
    <x v="473"/>
    <x v="42"/>
    <x v="42"/>
    <x v="0"/>
  </r>
  <r>
    <x v="0"/>
    <x v="68"/>
    <x v="68"/>
    <x v="81"/>
    <x v="81"/>
    <x v="81"/>
    <x v="12"/>
    <x v="246"/>
    <x v="88"/>
    <x v="140"/>
    <x v="473"/>
    <x v="42"/>
    <x v="42"/>
    <x v="0"/>
  </r>
  <r>
    <x v="0"/>
    <x v="68"/>
    <x v="68"/>
    <x v="9"/>
    <x v="9"/>
    <x v="9"/>
    <x v="12"/>
    <x v="246"/>
    <x v="88"/>
    <x v="140"/>
    <x v="473"/>
    <x v="42"/>
    <x v="42"/>
    <x v="0"/>
  </r>
  <r>
    <x v="0"/>
    <x v="68"/>
    <x v="68"/>
    <x v="122"/>
    <x v="121"/>
    <x v="122"/>
    <x v="12"/>
    <x v="246"/>
    <x v="88"/>
    <x v="140"/>
    <x v="473"/>
    <x v="42"/>
    <x v="42"/>
    <x v="0"/>
  </r>
  <r>
    <x v="0"/>
    <x v="68"/>
    <x v="68"/>
    <x v="72"/>
    <x v="72"/>
    <x v="72"/>
    <x v="12"/>
    <x v="246"/>
    <x v="88"/>
    <x v="162"/>
    <x v="236"/>
    <x v="60"/>
    <x v="421"/>
    <x v="0"/>
  </r>
  <r>
    <x v="0"/>
    <x v="68"/>
    <x v="68"/>
    <x v="123"/>
    <x v="122"/>
    <x v="123"/>
    <x v="12"/>
    <x v="246"/>
    <x v="88"/>
    <x v="140"/>
    <x v="473"/>
    <x v="42"/>
    <x v="42"/>
    <x v="0"/>
  </r>
  <r>
    <x v="0"/>
    <x v="69"/>
    <x v="69"/>
    <x v="7"/>
    <x v="7"/>
    <x v="7"/>
    <x v="0"/>
    <x v="51"/>
    <x v="371"/>
    <x v="50"/>
    <x v="363"/>
    <x v="122"/>
    <x v="423"/>
    <x v="0"/>
  </r>
  <r>
    <x v="0"/>
    <x v="69"/>
    <x v="69"/>
    <x v="105"/>
    <x v="105"/>
    <x v="105"/>
    <x v="1"/>
    <x v="66"/>
    <x v="93"/>
    <x v="75"/>
    <x v="555"/>
    <x v="60"/>
    <x v="350"/>
    <x v="0"/>
  </r>
  <r>
    <x v="0"/>
    <x v="69"/>
    <x v="69"/>
    <x v="0"/>
    <x v="0"/>
    <x v="0"/>
    <x v="2"/>
    <x v="224"/>
    <x v="65"/>
    <x v="78"/>
    <x v="495"/>
    <x v="42"/>
    <x v="42"/>
    <x v="0"/>
  </r>
  <r>
    <x v="0"/>
    <x v="69"/>
    <x v="69"/>
    <x v="4"/>
    <x v="4"/>
    <x v="4"/>
    <x v="3"/>
    <x v="230"/>
    <x v="352"/>
    <x v="55"/>
    <x v="556"/>
    <x v="60"/>
    <x v="350"/>
    <x v="0"/>
  </r>
  <r>
    <x v="0"/>
    <x v="69"/>
    <x v="69"/>
    <x v="18"/>
    <x v="18"/>
    <x v="18"/>
    <x v="3"/>
    <x v="230"/>
    <x v="352"/>
    <x v="96"/>
    <x v="168"/>
    <x v="42"/>
    <x v="42"/>
    <x v="0"/>
  </r>
  <r>
    <x v="0"/>
    <x v="69"/>
    <x v="69"/>
    <x v="14"/>
    <x v="14"/>
    <x v="14"/>
    <x v="5"/>
    <x v="237"/>
    <x v="324"/>
    <x v="68"/>
    <x v="472"/>
    <x v="55"/>
    <x v="225"/>
    <x v="0"/>
  </r>
  <r>
    <x v="0"/>
    <x v="69"/>
    <x v="69"/>
    <x v="5"/>
    <x v="5"/>
    <x v="5"/>
    <x v="6"/>
    <x v="234"/>
    <x v="190"/>
    <x v="80"/>
    <x v="260"/>
    <x v="42"/>
    <x v="42"/>
    <x v="0"/>
  </r>
  <r>
    <x v="0"/>
    <x v="69"/>
    <x v="69"/>
    <x v="11"/>
    <x v="11"/>
    <x v="11"/>
    <x v="7"/>
    <x v="235"/>
    <x v="182"/>
    <x v="50"/>
    <x v="363"/>
    <x v="42"/>
    <x v="42"/>
    <x v="0"/>
  </r>
  <r>
    <x v="0"/>
    <x v="69"/>
    <x v="69"/>
    <x v="82"/>
    <x v="82"/>
    <x v="82"/>
    <x v="8"/>
    <x v="240"/>
    <x v="44"/>
    <x v="59"/>
    <x v="235"/>
    <x v="58"/>
    <x v="136"/>
    <x v="0"/>
  </r>
  <r>
    <x v="0"/>
    <x v="69"/>
    <x v="69"/>
    <x v="17"/>
    <x v="17"/>
    <x v="17"/>
    <x v="8"/>
    <x v="240"/>
    <x v="44"/>
    <x v="67"/>
    <x v="246"/>
    <x v="51"/>
    <x v="311"/>
    <x v="0"/>
  </r>
  <r>
    <x v="0"/>
    <x v="69"/>
    <x v="69"/>
    <x v="21"/>
    <x v="21"/>
    <x v="21"/>
    <x v="8"/>
    <x v="240"/>
    <x v="44"/>
    <x v="49"/>
    <x v="212"/>
    <x v="44"/>
    <x v="20"/>
    <x v="0"/>
  </r>
  <r>
    <x v="0"/>
    <x v="69"/>
    <x v="69"/>
    <x v="10"/>
    <x v="10"/>
    <x v="10"/>
    <x v="8"/>
    <x v="240"/>
    <x v="44"/>
    <x v="47"/>
    <x v="75"/>
    <x v="42"/>
    <x v="42"/>
    <x v="0"/>
  </r>
  <r>
    <x v="0"/>
    <x v="69"/>
    <x v="69"/>
    <x v="8"/>
    <x v="8"/>
    <x v="8"/>
    <x v="8"/>
    <x v="240"/>
    <x v="44"/>
    <x v="68"/>
    <x v="472"/>
    <x v="60"/>
    <x v="350"/>
    <x v="0"/>
  </r>
  <r>
    <x v="0"/>
    <x v="69"/>
    <x v="69"/>
    <x v="26"/>
    <x v="26"/>
    <x v="26"/>
    <x v="13"/>
    <x v="241"/>
    <x v="224"/>
    <x v="140"/>
    <x v="46"/>
    <x v="46"/>
    <x v="347"/>
    <x v="0"/>
  </r>
  <r>
    <x v="0"/>
    <x v="69"/>
    <x v="69"/>
    <x v="54"/>
    <x v="54"/>
    <x v="54"/>
    <x v="13"/>
    <x v="241"/>
    <x v="224"/>
    <x v="68"/>
    <x v="472"/>
    <x v="42"/>
    <x v="42"/>
    <x v="0"/>
  </r>
  <r>
    <x v="0"/>
    <x v="69"/>
    <x v="69"/>
    <x v="51"/>
    <x v="51"/>
    <x v="51"/>
    <x v="13"/>
    <x v="241"/>
    <x v="224"/>
    <x v="77"/>
    <x v="224"/>
    <x v="58"/>
    <x v="136"/>
    <x v="0"/>
  </r>
  <r>
    <x v="0"/>
    <x v="69"/>
    <x v="69"/>
    <x v="22"/>
    <x v="22"/>
    <x v="22"/>
    <x v="13"/>
    <x v="241"/>
    <x v="224"/>
    <x v="49"/>
    <x v="212"/>
    <x v="60"/>
    <x v="350"/>
    <x v="0"/>
  </r>
  <r>
    <x v="0"/>
    <x v="69"/>
    <x v="69"/>
    <x v="19"/>
    <x v="19"/>
    <x v="19"/>
    <x v="17"/>
    <x v="242"/>
    <x v="134"/>
    <x v="67"/>
    <x v="246"/>
    <x v="60"/>
    <x v="350"/>
    <x v="0"/>
  </r>
  <r>
    <x v="0"/>
    <x v="69"/>
    <x v="69"/>
    <x v="27"/>
    <x v="27"/>
    <x v="27"/>
    <x v="17"/>
    <x v="242"/>
    <x v="134"/>
    <x v="49"/>
    <x v="212"/>
    <x v="42"/>
    <x v="42"/>
    <x v="0"/>
  </r>
  <r>
    <x v="0"/>
    <x v="69"/>
    <x v="69"/>
    <x v="23"/>
    <x v="23"/>
    <x v="23"/>
    <x v="17"/>
    <x v="242"/>
    <x v="134"/>
    <x v="49"/>
    <x v="212"/>
    <x v="42"/>
    <x v="42"/>
    <x v="0"/>
  </r>
  <r>
    <x v="0"/>
    <x v="69"/>
    <x v="69"/>
    <x v="12"/>
    <x v="12"/>
    <x v="12"/>
    <x v="17"/>
    <x v="242"/>
    <x v="134"/>
    <x v="77"/>
    <x v="224"/>
    <x v="51"/>
    <x v="311"/>
    <x v="0"/>
  </r>
  <r>
    <x v="0"/>
    <x v="69"/>
    <x v="69"/>
    <x v="38"/>
    <x v="38"/>
    <x v="38"/>
    <x v="17"/>
    <x v="242"/>
    <x v="134"/>
    <x v="49"/>
    <x v="212"/>
    <x v="42"/>
    <x v="42"/>
    <x v="0"/>
  </r>
  <r>
    <x v="0"/>
    <x v="69"/>
    <x v="69"/>
    <x v="1"/>
    <x v="1"/>
    <x v="1"/>
    <x v="17"/>
    <x v="242"/>
    <x v="134"/>
    <x v="162"/>
    <x v="236"/>
    <x v="46"/>
    <x v="347"/>
    <x v="0"/>
  </r>
  <r>
    <x v="0"/>
    <x v="69"/>
    <x v="69"/>
    <x v="28"/>
    <x v="28"/>
    <x v="28"/>
    <x v="17"/>
    <x v="242"/>
    <x v="134"/>
    <x v="59"/>
    <x v="235"/>
    <x v="44"/>
    <x v="20"/>
    <x v="0"/>
  </r>
  <r>
    <x v="0"/>
    <x v="69"/>
    <x v="69"/>
    <x v="124"/>
    <x v="123"/>
    <x v="124"/>
    <x v="17"/>
    <x v="242"/>
    <x v="134"/>
    <x v="67"/>
    <x v="246"/>
    <x v="60"/>
    <x v="350"/>
    <x v="0"/>
  </r>
  <r>
    <x v="0"/>
    <x v="70"/>
    <x v="70"/>
    <x v="0"/>
    <x v="0"/>
    <x v="0"/>
    <x v="0"/>
    <x v="49"/>
    <x v="372"/>
    <x v="60"/>
    <x v="557"/>
    <x v="42"/>
    <x v="42"/>
    <x v="0"/>
  </r>
  <r>
    <x v="0"/>
    <x v="70"/>
    <x v="70"/>
    <x v="7"/>
    <x v="7"/>
    <x v="7"/>
    <x v="1"/>
    <x v="53"/>
    <x v="104"/>
    <x v="59"/>
    <x v="542"/>
    <x v="83"/>
    <x v="424"/>
    <x v="0"/>
  </r>
  <r>
    <x v="0"/>
    <x v="70"/>
    <x v="70"/>
    <x v="10"/>
    <x v="10"/>
    <x v="10"/>
    <x v="2"/>
    <x v="63"/>
    <x v="260"/>
    <x v="96"/>
    <x v="408"/>
    <x v="53"/>
    <x v="425"/>
    <x v="0"/>
  </r>
  <r>
    <x v="0"/>
    <x v="70"/>
    <x v="70"/>
    <x v="1"/>
    <x v="1"/>
    <x v="1"/>
    <x v="2"/>
    <x v="63"/>
    <x v="260"/>
    <x v="97"/>
    <x v="368"/>
    <x v="56"/>
    <x v="426"/>
    <x v="0"/>
  </r>
  <r>
    <x v="0"/>
    <x v="70"/>
    <x v="70"/>
    <x v="4"/>
    <x v="4"/>
    <x v="4"/>
    <x v="4"/>
    <x v="65"/>
    <x v="128"/>
    <x v="74"/>
    <x v="558"/>
    <x v="42"/>
    <x v="42"/>
    <x v="0"/>
  </r>
  <r>
    <x v="0"/>
    <x v="70"/>
    <x v="70"/>
    <x v="6"/>
    <x v="6"/>
    <x v="6"/>
    <x v="5"/>
    <x v="75"/>
    <x v="96"/>
    <x v="53"/>
    <x v="250"/>
    <x v="44"/>
    <x v="356"/>
    <x v="0"/>
  </r>
  <r>
    <x v="0"/>
    <x v="70"/>
    <x v="70"/>
    <x v="11"/>
    <x v="11"/>
    <x v="11"/>
    <x v="6"/>
    <x v="76"/>
    <x v="4"/>
    <x v="66"/>
    <x v="450"/>
    <x v="52"/>
    <x v="427"/>
    <x v="0"/>
  </r>
  <r>
    <x v="0"/>
    <x v="70"/>
    <x v="70"/>
    <x v="9"/>
    <x v="9"/>
    <x v="9"/>
    <x v="6"/>
    <x v="76"/>
    <x v="4"/>
    <x v="53"/>
    <x v="250"/>
    <x v="42"/>
    <x v="42"/>
    <x v="1"/>
  </r>
  <r>
    <x v="0"/>
    <x v="70"/>
    <x v="70"/>
    <x v="17"/>
    <x v="17"/>
    <x v="17"/>
    <x v="8"/>
    <x v="223"/>
    <x v="51"/>
    <x v="49"/>
    <x v="271"/>
    <x v="53"/>
    <x v="425"/>
    <x v="0"/>
  </r>
  <r>
    <x v="0"/>
    <x v="70"/>
    <x v="70"/>
    <x v="3"/>
    <x v="3"/>
    <x v="3"/>
    <x v="8"/>
    <x v="223"/>
    <x v="51"/>
    <x v="53"/>
    <x v="250"/>
    <x v="42"/>
    <x v="42"/>
    <x v="0"/>
  </r>
  <r>
    <x v="0"/>
    <x v="70"/>
    <x v="70"/>
    <x v="18"/>
    <x v="18"/>
    <x v="18"/>
    <x v="10"/>
    <x v="224"/>
    <x v="110"/>
    <x v="96"/>
    <x v="408"/>
    <x v="44"/>
    <x v="356"/>
    <x v="0"/>
  </r>
  <r>
    <x v="0"/>
    <x v="70"/>
    <x v="70"/>
    <x v="66"/>
    <x v="66"/>
    <x v="66"/>
    <x v="11"/>
    <x v="229"/>
    <x v="43"/>
    <x v="97"/>
    <x v="368"/>
    <x v="58"/>
    <x v="343"/>
    <x v="0"/>
  </r>
  <r>
    <x v="0"/>
    <x v="70"/>
    <x v="70"/>
    <x v="8"/>
    <x v="8"/>
    <x v="8"/>
    <x v="12"/>
    <x v="230"/>
    <x v="154"/>
    <x v="77"/>
    <x v="278"/>
    <x v="48"/>
    <x v="237"/>
    <x v="0"/>
  </r>
  <r>
    <x v="0"/>
    <x v="70"/>
    <x v="70"/>
    <x v="5"/>
    <x v="5"/>
    <x v="5"/>
    <x v="12"/>
    <x v="230"/>
    <x v="154"/>
    <x v="55"/>
    <x v="87"/>
    <x v="60"/>
    <x v="228"/>
    <x v="0"/>
  </r>
  <r>
    <x v="0"/>
    <x v="70"/>
    <x v="70"/>
    <x v="12"/>
    <x v="12"/>
    <x v="12"/>
    <x v="14"/>
    <x v="236"/>
    <x v="28"/>
    <x v="97"/>
    <x v="368"/>
    <x v="44"/>
    <x v="356"/>
    <x v="0"/>
  </r>
  <r>
    <x v="0"/>
    <x v="70"/>
    <x v="70"/>
    <x v="14"/>
    <x v="14"/>
    <x v="14"/>
    <x v="15"/>
    <x v="237"/>
    <x v="254"/>
    <x v="49"/>
    <x v="271"/>
    <x v="45"/>
    <x v="88"/>
    <x v="0"/>
  </r>
  <r>
    <x v="0"/>
    <x v="70"/>
    <x v="70"/>
    <x v="2"/>
    <x v="2"/>
    <x v="2"/>
    <x v="15"/>
    <x v="237"/>
    <x v="254"/>
    <x v="66"/>
    <x v="450"/>
    <x v="42"/>
    <x v="42"/>
    <x v="0"/>
  </r>
  <r>
    <x v="0"/>
    <x v="70"/>
    <x v="70"/>
    <x v="22"/>
    <x v="22"/>
    <x v="22"/>
    <x v="15"/>
    <x v="237"/>
    <x v="254"/>
    <x v="80"/>
    <x v="63"/>
    <x v="44"/>
    <x v="356"/>
    <x v="0"/>
  </r>
  <r>
    <x v="0"/>
    <x v="70"/>
    <x v="70"/>
    <x v="70"/>
    <x v="70"/>
    <x v="70"/>
    <x v="18"/>
    <x v="233"/>
    <x v="113"/>
    <x v="162"/>
    <x v="236"/>
    <x v="64"/>
    <x v="428"/>
    <x v="0"/>
  </r>
  <r>
    <x v="0"/>
    <x v="70"/>
    <x v="70"/>
    <x v="28"/>
    <x v="28"/>
    <x v="28"/>
    <x v="19"/>
    <x v="234"/>
    <x v="210"/>
    <x v="67"/>
    <x v="277"/>
    <x v="55"/>
    <x v="405"/>
    <x v="0"/>
  </r>
  <r>
    <x v="0"/>
    <x v="71"/>
    <x v="71"/>
    <x v="7"/>
    <x v="7"/>
    <x v="7"/>
    <x v="0"/>
    <x v="61"/>
    <x v="373"/>
    <x v="55"/>
    <x v="463"/>
    <x v="63"/>
    <x v="429"/>
    <x v="0"/>
  </r>
  <r>
    <x v="0"/>
    <x v="71"/>
    <x v="71"/>
    <x v="0"/>
    <x v="0"/>
    <x v="0"/>
    <x v="1"/>
    <x v="75"/>
    <x v="374"/>
    <x v="135"/>
    <x v="559"/>
    <x v="42"/>
    <x v="42"/>
    <x v="0"/>
  </r>
  <r>
    <x v="0"/>
    <x v="71"/>
    <x v="71"/>
    <x v="4"/>
    <x v="4"/>
    <x v="4"/>
    <x v="2"/>
    <x v="224"/>
    <x v="375"/>
    <x v="78"/>
    <x v="560"/>
    <x v="42"/>
    <x v="42"/>
    <x v="0"/>
  </r>
  <r>
    <x v="0"/>
    <x v="71"/>
    <x v="71"/>
    <x v="14"/>
    <x v="14"/>
    <x v="14"/>
    <x v="3"/>
    <x v="236"/>
    <x v="205"/>
    <x v="76"/>
    <x v="561"/>
    <x v="46"/>
    <x v="430"/>
    <x v="0"/>
  </r>
  <r>
    <x v="0"/>
    <x v="71"/>
    <x v="71"/>
    <x v="15"/>
    <x v="15"/>
    <x v="15"/>
    <x v="3"/>
    <x v="236"/>
    <x v="205"/>
    <x v="59"/>
    <x v="222"/>
    <x v="57"/>
    <x v="431"/>
    <x v="0"/>
  </r>
  <r>
    <x v="0"/>
    <x v="71"/>
    <x v="71"/>
    <x v="11"/>
    <x v="11"/>
    <x v="11"/>
    <x v="5"/>
    <x v="233"/>
    <x v="180"/>
    <x v="76"/>
    <x v="561"/>
    <x v="51"/>
    <x v="338"/>
    <x v="0"/>
  </r>
  <r>
    <x v="0"/>
    <x v="71"/>
    <x v="71"/>
    <x v="33"/>
    <x v="33"/>
    <x v="33"/>
    <x v="6"/>
    <x v="235"/>
    <x v="69"/>
    <x v="59"/>
    <x v="222"/>
    <x v="55"/>
    <x v="432"/>
    <x v="0"/>
  </r>
  <r>
    <x v="0"/>
    <x v="71"/>
    <x v="71"/>
    <x v="17"/>
    <x v="17"/>
    <x v="17"/>
    <x v="6"/>
    <x v="235"/>
    <x v="69"/>
    <x v="49"/>
    <x v="290"/>
    <x v="58"/>
    <x v="433"/>
    <x v="0"/>
  </r>
  <r>
    <x v="0"/>
    <x v="71"/>
    <x v="71"/>
    <x v="6"/>
    <x v="6"/>
    <x v="6"/>
    <x v="6"/>
    <x v="235"/>
    <x v="69"/>
    <x v="50"/>
    <x v="562"/>
    <x v="42"/>
    <x v="42"/>
    <x v="0"/>
  </r>
  <r>
    <x v="0"/>
    <x v="71"/>
    <x v="71"/>
    <x v="23"/>
    <x v="23"/>
    <x v="23"/>
    <x v="9"/>
    <x v="239"/>
    <x v="25"/>
    <x v="47"/>
    <x v="480"/>
    <x v="60"/>
    <x v="132"/>
    <x v="0"/>
  </r>
  <r>
    <x v="0"/>
    <x v="71"/>
    <x v="71"/>
    <x v="10"/>
    <x v="10"/>
    <x v="10"/>
    <x v="9"/>
    <x v="239"/>
    <x v="25"/>
    <x v="68"/>
    <x v="128"/>
    <x v="44"/>
    <x v="40"/>
    <x v="0"/>
  </r>
  <r>
    <x v="0"/>
    <x v="71"/>
    <x v="71"/>
    <x v="9"/>
    <x v="9"/>
    <x v="9"/>
    <x v="9"/>
    <x v="239"/>
    <x v="25"/>
    <x v="76"/>
    <x v="561"/>
    <x v="42"/>
    <x v="42"/>
    <x v="0"/>
  </r>
  <r>
    <x v="0"/>
    <x v="71"/>
    <x v="71"/>
    <x v="49"/>
    <x v="49"/>
    <x v="49"/>
    <x v="12"/>
    <x v="240"/>
    <x v="196"/>
    <x v="59"/>
    <x v="222"/>
    <x v="58"/>
    <x v="433"/>
    <x v="0"/>
  </r>
  <r>
    <x v="0"/>
    <x v="71"/>
    <x v="71"/>
    <x v="12"/>
    <x v="12"/>
    <x v="12"/>
    <x v="12"/>
    <x v="240"/>
    <x v="196"/>
    <x v="68"/>
    <x v="128"/>
    <x v="60"/>
    <x v="132"/>
    <x v="0"/>
  </r>
  <r>
    <x v="0"/>
    <x v="71"/>
    <x v="71"/>
    <x v="22"/>
    <x v="22"/>
    <x v="22"/>
    <x v="12"/>
    <x v="240"/>
    <x v="196"/>
    <x v="68"/>
    <x v="128"/>
    <x v="60"/>
    <x v="132"/>
    <x v="0"/>
  </r>
  <r>
    <x v="0"/>
    <x v="71"/>
    <x v="71"/>
    <x v="28"/>
    <x v="28"/>
    <x v="28"/>
    <x v="12"/>
    <x v="240"/>
    <x v="196"/>
    <x v="68"/>
    <x v="128"/>
    <x v="60"/>
    <x v="132"/>
    <x v="0"/>
  </r>
  <r>
    <x v="0"/>
    <x v="71"/>
    <x v="71"/>
    <x v="18"/>
    <x v="18"/>
    <x v="18"/>
    <x v="12"/>
    <x v="240"/>
    <x v="196"/>
    <x v="47"/>
    <x v="480"/>
    <x v="42"/>
    <x v="42"/>
    <x v="0"/>
  </r>
  <r>
    <x v="0"/>
    <x v="71"/>
    <x v="71"/>
    <x v="81"/>
    <x v="81"/>
    <x v="81"/>
    <x v="17"/>
    <x v="241"/>
    <x v="58"/>
    <x v="162"/>
    <x v="236"/>
    <x v="42"/>
    <x v="42"/>
    <x v="0"/>
  </r>
  <r>
    <x v="0"/>
    <x v="71"/>
    <x v="71"/>
    <x v="65"/>
    <x v="65"/>
    <x v="65"/>
    <x v="17"/>
    <x v="241"/>
    <x v="58"/>
    <x v="162"/>
    <x v="236"/>
    <x v="42"/>
    <x v="42"/>
    <x v="0"/>
  </r>
  <r>
    <x v="0"/>
    <x v="71"/>
    <x v="71"/>
    <x v="100"/>
    <x v="100"/>
    <x v="100"/>
    <x v="17"/>
    <x v="241"/>
    <x v="58"/>
    <x v="162"/>
    <x v="236"/>
    <x v="55"/>
    <x v="432"/>
    <x v="0"/>
  </r>
  <r>
    <x v="0"/>
    <x v="72"/>
    <x v="72"/>
    <x v="0"/>
    <x v="0"/>
    <x v="0"/>
    <x v="0"/>
    <x v="237"/>
    <x v="376"/>
    <x v="66"/>
    <x v="563"/>
    <x v="42"/>
    <x v="42"/>
    <x v="0"/>
  </r>
  <r>
    <x v="0"/>
    <x v="72"/>
    <x v="72"/>
    <x v="1"/>
    <x v="1"/>
    <x v="1"/>
    <x v="1"/>
    <x v="234"/>
    <x v="377"/>
    <x v="76"/>
    <x v="564"/>
    <x v="44"/>
    <x v="434"/>
    <x v="0"/>
  </r>
  <r>
    <x v="0"/>
    <x v="72"/>
    <x v="72"/>
    <x v="4"/>
    <x v="4"/>
    <x v="4"/>
    <x v="2"/>
    <x v="241"/>
    <x v="17"/>
    <x v="68"/>
    <x v="565"/>
    <x v="42"/>
    <x v="42"/>
    <x v="0"/>
  </r>
  <r>
    <x v="0"/>
    <x v="72"/>
    <x v="72"/>
    <x v="21"/>
    <x v="21"/>
    <x v="21"/>
    <x v="3"/>
    <x v="242"/>
    <x v="378"/>
    <x v="77"/>
    <x v="487"/>
    <x v="51"/>
    <x v="435"/>
    <x v="0"/>
  </r>
  <r>
    <x v="0"/>
    <x v="72"/>
    <x v="72"/>
    <x v="33"/>
    <x v="33"/>
    <x v="33"/>
    <x v="4"/>
    <x v="243"/>
    <x v="173"/>
    <x v="77"/>
    <x v="487"/>
    <x v="44"/>
    <x v="434"/>
    <x v="0"/>
  </r>
  <r>
    <x v="0"/>
    <x v="72"/>
    <x v="72"/>
    <x v="20"/>
    <x v="20"/>
    <x v="20"/>
    <x v="4"/>
    <x v="243"/>
    <x v="173"/>
    <x v="67"/>
    <x v="485"/>
    <x v="42"/>
    <x v="42"/>
    <x v="0"/>
  </r>
  <r>
    <x v="0"/>
    <x v="72"/>
    <x v="72"/>
    <x v="17"/>
    <x v="17"/>
    <x v="17"/>
    <x v="6"/>
    <x v="244"/>
    <x v="2"/>
    <x v="140"/>
    <x v="19"/>
    <x v="44"/>
    <x v="434"/>
    <x v="0"/>
  </r>
  <r>
    <x v="0"/>
    <x v="72"/>
    <x v="72"/>
    <x v="125"/>
    <x v="124"/>
    <x v="125"/>
    <x v="6"/>
    <x v="244"/>
    <x v="2"/>
    <x v="140"/>
    <x v="19"/>
    <x v="44"/>
    <x v="434"/>
    <x v="0"/>
  </r>
  <r>
    <x v="0"/>
    <x v="72"/>
    <x v="72"/>
    <x v="113"/>
    <x v="113"/>
    <x v="113"/>
    <x v="6"/>
    <x v="244"/>
    <x v="2"/>
    <x v="77"/>
    <x v="487"/>
    <x v="60"/>
    <x v="251"/>
    <x v="0"/>
  </r>
  <r>
    <x v="0"/>
    <x v="72"/>
    <x v="72"/>
    <x v="8"/>
    <x v="8"/>
    <x v="8"/>
    <x v="6"/>
    <x v="244"/>
    <x v="2"/>
    <x v="140"/>
    <x v="19"/>
    <x v="44"/>
    <x v="434"/>
    <x v="0"/>
  </r>
  <r>
    <x v="0"/>
    <x v="72"/>
    <x v="72"/>
    <x v="12"/>
    <x v="12"/>
    <x v="12"/>
    <x v="6"/>
    <x v="244"/>
    <x v="2"/>
    <x v="59"/>
    <x v="486"/>
    <x v="42"/>
    <x v="42"/>
    <x v="0"/>
  </r>
  <r>
    <x v="0"/>
    <x v="72"/>
    <x v="72"/>
    <x v="82"/>
    <x v="82"/>
    <x v="82"/>
    <x v="11"/>
    <x v="245"/>
    <x v="10"/>
    <x v="162"/>
    <x v="236"/>
    <x v="44"/>
    <x v="434"/>
    <x v="0"/>
  </r>
  <r>
    <x v="0"/>
    <x v="72"/>
    <x v="72"/>
    <x v="7"/>
    <x v="7"/>
    <x v="7"/>
    <x v="11"/>
    <x v="245"/>
    <x v="10"/>
    <x v="162"/>
    <x v="236"/>
    <x v="44"/>
    <x v="434"/>
    <x v="0"/>
  </r>
  <r>
    <x v="0"/>
    <x v="72"/>
    <x v="72"/>
    <x v="14"/>
    <x v="14"/>
    <x v="14"/>
    <x v="11"/>
    <x v="245"/>
    <x v="10"/>
    <x v="162"/>
    <x v="236"/>
    <x v="44"/>
    <x v="434"/>
    <x v="0"/>
  </r>
  <r>
    <x v="0"/>
    <x v="72"/>
    <x v="72"/>
    <x v="24"/>
    <x v="24"/>
    <x v="24"/>
    <x v="11"/>
    <x v="245"/>
    <x v="10"/>
    <x v="77"/>
    <x v="487"/>
    <x v="42"/>
    <x v="42"/>
    <x v="0"/>
  </r>
  <r>
    <x v="0"/>
    <x v="72"/>
    <x v="72"/>
    <x v="10"/>
    <x v="10"/>
    <x v="10"/>
    <x v="11"/>
    <x v="245"/>
    <x v="10"/>
    <x v="77"/>
    <x v="487"/>
    <x v="42"/>
    <x v="42"/>
    <x v="0"/>
  </r>
  <r>
    <x v="0"/>
    <x v="72"/>
    <x v="72"/>
    <x v="51"/>
    <x v="51"/>
    <x v="51"/>
    <x v="11"/>
    <x v="245"/>
    <x v="10"/>
    <x v="140"/>
    <x v="19"/>
    <x v="60"/>
    <x v="251"/>
    <x v="0"/>
  </r>
  <r>
    <x v="0"/>
    <x v="72"/>
    <x v="72"/>
    <x v="126"/>
    <x v="125"/>
    <x v="126"/>
    <x v="11"/>
    <x v="245"/>
    <x v="10"/>
    <x v="140"/>
    <x v="19"/>
    <x v="60"/>
    <x v="251"/>
    <x v="0"/>
  </r>
  <r>
    <x v="0"/>
    <x v="72"/>
    <x v="72"/>
    <x v="25"/>
    <x v="25"/>
    <x v="25"/>
    <x v="11"/>
    <x v="245"/>
    <x v="10"/>
    <x v="77"/>
    <x v="487"/>
    <x v="42"/>
    <x v="42"/>
    <x v="0"/>
  </r>
  <r>
    <x v="0"/>
    <x v="72"/>
    <x v="72"/>
    <x v="29"/>
    <x v="29"/>
    <x v="29"/>
    <x v="11"/>
    <x v="245"/>
    <x v="10"/>
    <x v="77"/>
    <x v="487"/>
    <x v="42"/>
    <x v="42"/>
    <x v="0"/>
  </r>
  <r>
    <x v="0"/>
    <x v="72"/>
    <x v="72"/>
    <x v="6"/>
    <x v="6"/>
    <x v="6"/>
    <x v="11"/>
    <x v="245"/>
    <x v="10"/>
    <x v="77"/>
    <x v="487"/>
    <x v="42"/>
    <x v="42"/>
    <x v="0"/>
  </r>
  <r>
    <x v="0"/>
    <x v="72"/>
    <x v="72"/>
    <x v="18"/>
    <x v="18"/>
    <x v="18"/>
    <x v="11"/>
    <x v="245"/>
    <x v="10"/>
    <x v="77"/>
    <x v="487"/>
    <x v="42"/>
    <x v="42"/>
    <x v="0"/>
  </r>
  <r>
    <x v="0"/>
    <x v="73"/>
    <x v="73"/>
    <x v="7"/>
    <x v="7"/>
    <x v="7"/>
    <x v="0"/>
    <x v="234"/>
    <x v="361"/>
    <x v="59"/>
    <x v="350"/>
    <x v="45"/>
    <x v="436"/>
    <x v="0"/>
  </r>
  <r>
    <x v="0"/>
    <x v="73"/>
    <x v="73"/>
    <x v="11"/>
    <x v="11"/>
    <x v="11"/>
    <x v="1"/>
    <x v="241"/>
    <x v="250"/>
    <x v="68"/>
    <x v="540"/>
    <x v="42"/>
    <x v="42"/>
    <x v="0"/>
  </r>
  <r>
    <x v="0"/>
    <x v="73"/>
    <x v="73"/>
    <x v="0"/>
    <x v="0"/>
    <x v="0"/>
    <x v="1"/>
    <x v="241"/>
    <x v="250"/>
    <x v="68"/>
    <x v="540"/>
    <x v="42"/>
    <x v="42"/>
    <x v="0"/>
  </r>
  <r>
    <x v="0"/>
    <x v="73"/>
    <x v="73"/>
    <x v="4"/>
    <x v="4"/>
    <x v="4"/>
    <x v="3"/>
    <x v="242"/>
    <x v="379"/>
    <x v="49"/>
    <x v="566"/>
    <x v="42"/>
    <x v="42"/>
    <x v="0"/>
  </r>
  <r>
    <x v="0"/>
    <x v="73"/>
    <x v="73"/>
    <x v="18"/>
    <x v="18"/>
    <x v="18"/>
    <x v="3"/>
    <x v="242"/>
    <x v="379"/>
    <x v="49"/>
    <x v="566"/>
    <x v="42"/>
    <x v="42"/>
    <x v="0"/>
  </r>
  <r>
    <x v="0"/>
    <x v="73"/>
    <x v="73"/>
    <x v="33"/>
    <x v="33"/>
    <x v="33"/>
    <x v="5"/>
    <x v="243"/>
    <x v="380"/>
    <x v="59"/>
    <x v="350"/>
    <x v="60"/>
    <x v="110"/>
    <x v="0"/>
  </r>
  <r>
    <x v="0"/>
    <x v="73"/>
    <x v="73"/>
    <x v="10"/>
    <x v="10"/>
    <x v="10"/>
    <x v="5"/>
    <x v="243"/>
    <x v="380"/>
    <x v="67"/>
    <x v="167"/>
    <x v="42"/>
    <x v="42"/>
    <x v="0"/>
  </r>
  <r>
    <x v="0"/>
    <x v="73"/>
    <x v="73"/>
    <x v="50"/>
    <x v="50"/>
    <x v="50"/>
    <x v="5"/>
    <x v="243"/>
    <x v="380"/>
    <x v="162"/>
    <x v="236"/>
    <x v="58"/>
    <x v="437"/>
    <x v="0"/>
  </r>
  <r>
    <x v="0"/>
    <x v="73"/>
    <x v="73"/>
    <x v="14"/>
    <x v="14"/>
    <x v="14"/>
    <x v="8"/>
    <x v="244"/>
    <x v="275"/>
    <x v="77"/>
    <x v="456"/>
    <x v="60"/>
    <x v="110"/>
    <x v="0"/>
  </r>
  <r>
    <x v="0"/>
    <x v="73"/>
    <x v="73"/>
    <x v="17"/>
    <x v="17"/>
    <x v="17"/>
    <x v="8"/>
    <x v="244"/>
    <x v="275"/>
    <x v="77"/>
    <x v="456"/>
    <x v="60"/>
    <x v="110"/>
    <x v="0"/>
  </r>
  <r>
    <x v="0"/>
    <x v="73"/>
    <x v="73"/>
    <x v="31"/>
    <x v="31"/>
    <x v="31"/>
    <x v="8"/>
    <x v="244"/>
    <x v="275"/>
    <x v="140"/>
    <x v="254"/>
    <x v="44"/>
    <x v="438"/>
    <x v="0"/>
  </r>
  <r>
    <x v="0"/>
    <x v="73"/>
    <x v="73"/>
    <x v="27"/>
    <x v="27"/>
    <x v="27"/>
    <x v="8"/>
    <x v="244"/>
    <x v="275"/>
    <x v="59"/>
    <x v="350"/>
    <x v="42"/>
    <x v="42"/>
    <x v="0"/>
  </r>
  <r>
    <x v="0"/>
    <x v="73"/>
    <x v="73"/>
    <x v="51"/>
    <x v="51"/>
    <x v="51"/>
    <x v="8"/>
    <x v="244"/>
    <x v="275"/>
    <x v="162"/>
    <x v="236"/>
    <x v="51"/>
    <x v="439"/>
    <x v="0"/>
  </r>
  <r>
    <x v="0"/>
    <x v="73"/>
    <x v="73"/>
    <x v="127"/>
    <x v="126"/>
    <x v="127"/>
    <x v="8"/>
    <x v="244"/>
    <x v="275"/>
    <x v="59"/>
    <x v="350"/>
    <x v="42"/>
    <x v="42"/>
    <x v="0"/>
  </r>
  <r>
    <x v="0"/>
    <x v="73"/>
    <x v="73"/>
    <x v="48"/>
    <x v="48"/>
    <x v="48"/>
    <x v="14"/>
    <x v="245"/>
    <x v="154"/>
    <x v="77"/>
    <x v="456"/>
    <x v="42"/>
    <x v="42"/>
    <x v="0"/>
  </r>
  <r>
    <x v="0"/>
    <x v="73"/>
    <x v="73"/>
    <x v="49"/>
    <x v="49"/>
    <x v="49"/>
    <x v="14"/>
    <x v="245"/>
    <x v="154"/>
    <x v="140"/>
    <x v="254"/>
    <x v="60"/>
    <x v="110"/>
    <x v="0"/>
  </r>
  <r>
    <x v="0"/>
    <x v="73"/>
    <x v="73"/>
    <x v="19"/>
    <x v="19"/>
    <x v="19"/>
    <x v="14"/>
    <x v="245"/>
    <x v="154"/>
    <x v="77"/>
    <x v="456"/>
    <x v="42"/>
    <x v="42"/>
    <x v="0"/>
  </r>
  <r>
    <x v="0"/>
    <x v="73"/>
    <x v="73"/>
    <x v="113"/>
    <x v="113"/>
    <x v="113"/>
    <x v="14"/>
    <x v="245"/>
    <x v="154"/>
    <x v="77"/>
    <x v="456"/>
    <x v="42"/>
    <x v="42"/>
    <x v="0"/>
  </r>
  <r>
    <x v="0"/>
    <x v="73"/>
    <x v="73"/>
    <x v="8"/>
    <x v="8"/>
    <x v="8"/>
    <x v="14"/>
    <x v="245"/>
    <x v="154"/>
    <x v="162"/>
    <x v="236"/>
    <x v="44"/>
    <x v="438"/>
    <x v="0"/>
  </r>
  <r>
    <x v="0"/>
    <x v="73"/>
    <x v="73"/>
    <x v="12"/>
    <x v="12"/>
    <x v="12"/>
    <x v="14"/>
    <x v="245"/>
    <x v="154"/>
    <x v="140"/>
    <x v="254"/>
    <x v="60"/>
    <x v="110"/>
    <x v="0"/>
  </r>
  <r>
    <x v="0"/>
    <x v="73"/>
    <x v="73"/>
    <x v="91"/>
    <x v="91"/>
    <x v="91"/>
    <x v="14"/>
    <x v="245"/>
    <x v="154"/>
    <x v="162"/>
    <x v="236"/>
    <x v="44"/>
    <x v="438"/>
    <x v="0"/>
  </r>
  <r>
    <x v="0"/>
    <x v="73"/>
    <x v="73"/>
    <x v="76"/>
    <x v="76"/>
    <x v="76"/>
    <x v="14"/>
    <x v="245"/>
    <x v="154"/>
    <x v="140"/>
    <x v="254"/>
    <x v="60"/>
    <x v="110"/>
    <x v="0"/>
  </r>
  <r>
    <x v="0"/>
    <x v="74"/>
    <x v="74"/>
    <x v="7"/>
    <x v="7"/>
    <x v="7"/>
    <x v="0"/>
    <x v="222"/>
    <x v="381"/>
    <x v="96"/>
    <x v="567"/>
    <x v="97"/>
    <x v="440"/>
    <x v="0"/>
  </r>
  <r>
    <x v="0"/>
    <x v="74"/>
    <x v="74"/>
    <x v="0"/>
    <x v="0"/>
    <x v="0"/>
    <x v="1"/>
    <x v="223"/>
    <x v="345"/>
    <x v="79"/>
    <x v="568"/>
    <x v="44"/>
    <x v="77"/>
    <x v="0"/>
  </r>
  <r>
    <x v="0"/>
    <x v="74"/>
    <x v="74"/>
    <x v="11"/>
    <x v="11"/>
    <x v="11"/>
    <x v="2"/>
    <x v="224"/>
    <x v="116"/>
    <x v="96"/>
    <x v="567"/>
    <x v="60"/>
    <x v="71"/>
    <x v="1"/>
  </r>
  <r>
    <x v="0"/>
    <x v="74"/>
    <x v="74"/>
    <x v="4"/>
    <x v="4"/>
    <x v="4"/>
    <x v="3"/>
    <x v="229"/>
    <x v="382"/>
    <x v="62"/>
    <x v="569"/>
    <x v="42"/>
    <x v="42"/>
    <x v="0"/>
  </r>
  <r>
    <x v="0"/>
    <x v="74"/>
    <x v="74"/>
    <x v="6"/>
    <x v="6"/>
    <x v="6"/>
    <x v="4"/>
    <x v="233"/>
    <x v="294"/>
    <x v="97"/>
    <x v="570"/>
    <x v="42"/>
    <x v="42"/>
    <x v="0"/>
  </r>
  <r>
    <x v="0"/>
    <x v="74"/>
    <x v="74"/>
    <x v="12"/>
    <x v="12"/>
    <x v="12"/>
    <x v="5"/>
    <x v="235"/>
    <x v="97"/>
    <x v="47"/>
    <x v="523"/>
    <x v="44"/>
    <x v="77"/>
    <x v="0"/>
  </r>
  <r>
    <x v="0"/>
    <x v="74"/>
    <x v="74"/>
    <x v="1"/>
    <x v="1"/>
    <x v="1"/>
    <x v="5"/>
    <x v="235"/>
    <x v="97"/>
    <x v="67"/>
    <x v="189"/>
    <x v="58"/>
    <x v="306"/>
    <x v="0"/>
  </r>
  <r>
    <x v="0"/>
    <x v="74"/>
    <x v="74"/>
    <x v="3"/>
    <x v="3"/>
    <x v="3"/>
    <x v="5"/>
    <x v="235"/>
    <x v="97"/>
    <x v="50"/>
    <x v="122"/>
    <x v="42"/>
    <x v="42"/>
    <x v="0"/>
  </r>
  <r>
    <x v="0"/>
    <x v="74"/>
    <x v="74"/>
    <x v="14"/>
    <x v="14"/>
    <x v="14"/>
    <x v="8"/>
    <x v="239"/>
    <x v="201"/>
    <x v="77"/>
    <x v="109"/>
    <x v="55"/>
    <x v="441"/>
    <x v="0"/>
  </r>
  <r>
    <x v="0"/>
    <x v="74"/>
    <x v="74"/>
    <x v="10"/>
    <x v="10"/>
    <x v="10"/>
    <x v="8"/>
    <x v="239"/>
    <x v="201"/>
    <x v="49"/>
    <x v="571"/>
    <x v="51"/>
    <x v="314"/>
    <x v="0"/>
  </r>
  <r>
    <x v="0"/>
    <x v="74"/>
    <x v="74"/>
    <x v="28"/>
    <x v="28"/>
    <x v="28"/>
    <x v="8"/>
    <x v="239"/>
    <x v="201"/>
    <x v="67"/>
    <x v="189"/>
    <x v="58"/>
    <x v="306"/>
    <x v="0"/>
  </r>
  <r>
    <x v="0"/>
    <x v="74"/>
    <x v="74"/>
    <x v="18"/>
    <x v="18"/>
    <x v="18"/>
    <x v="8"/>
    <x v="239"/>
    <x v="201"/>
    <x v="76"/>
    <x v="572"/>
    <x v="42"/>
    <x v="42"/>
    <x v="0"/>
  </r>
  <r>
    <x v="0"/>
    <x v="74"/>
    <x v="74"/>
    <x v="49"/>
    <x v="49"/>
    <x v="49"/>
    <x v="12"/>
    <x v="240"/>
    <x v="8"/>
    <x v="49"/>
    <x v="571"/>
    <x v="44"/>
    <x v="77"/>
    <x v="0"/>
  </r>
  <r>
    <x v="0"/>
    <x v="74"/>
    <x v="74"/>
    <x v="8"/>
    <x v="8"/>
    <x v="8"/>
    <x v="12"/>
    <x v="240"/>
    <x v="8"/>
    <x v="140"/>
    <x v="147"/>
    <x v="55"/>
    <x v="441"/>
    <x v="0"/>
  </r>
  <r>
    <x v="0"/>
    <x v="74"/>
    <x v="74"/>
    <x v="2"/>
    <x v="2"/>
    <x v="2"/>
    <x v="12"/>
    <x v="240"/>
    <x v="8"/>
    <x v="47"/>
    <x v="523"/>
    <x v="42"/>
    <x v="42"/>
    <x v="0"/>
  </r>
  <r>
    <x v="0"/>
    <x v="74"/>
    <x v="74"/>
    <x v="9"/>
    <x v="9"/>
    <x v="9"/>
    <x v="12"/>
    <x v="240"/>
    <x v="8"/>
    <x v="49"/>
    <x v="571"/>
    <x v="60"/>
    <x v="71"/>
    <x v="1"/>
  </r>
  <r>
    <x v="0"/>
    <x v="74"/>
    <x v="74"/>
    <x v="5"/>
    <x v="5"/>
    <x v="5"/>
    <x v="16"/>
    <x v="241"/>
    <x v="11"/>
    <x v="68"/>
    <x v="573"/>
    <x v="42"/>
    <x v="42"/>
    <x v="0"/>
  </r>
  <r>
    <x v="0"/>
    <x v="74"/>
    <x v="74"/>
    <x v="22"/>
    <x v="22"/>
    <x v="22"/>
    <x v="16"/>
    <x v="241"/>
    <x v="11"/>
    <x v="68"/>
    <x v="573"/>
    <x v="42"/>
    <x v="42"/>
    <x v="0"/>
  </r>
  <r>
    <x v="0"/>
    <x v="74"/>
    <x v="74"/>
    <x v="82"/>
    <x v="82"/>
    <x v="82"/>
    <x v="18"/>
    <x v="242"/>
    <x v="16"/>
    <x v="140"/>
    <x v="147"/>
    <x v="58"/>
    <x v="306"/>
    <x v="0"/>
  </r>
  <r>
    <x v="0"/>
    <x v="74"/>
    <x v="74"/>
    <x v="33"/>
    <x v="33"/>
    <x v="33"/>
    <x v="18"/>
    <x v="242"/>
    <x v="16"/>
    <x v="59"/>
    <x v="574"/>
    <x v="44"/>
    <x v="77"/>
    <x v="0"/>
  </r>
  <r>
    <x v="0"/>
    <x v="74"/>
    <x v="74"/>
    <x v="32"/>
    <x v="32"/>
    <x v="32"/>
    <x v="18"/>
    <x v="242"/>
    <x v="16"/>
    <x v="77"/>
    <x v="109"/>
    <x v="51"/>
    <x v="314"/>
    <x v="0"/>
  </r>
  <r>
    <x v="0"/>
    <x v="74"/>
    <x v="74"/>
    <x v="17"/>
    <x v="17"/>
    <x v="17"/>
    <x v="18"/>
    <x v="242"/>
    <x v="16"/>
    <x v="140"/>
    <x v="147"/>
    <x v="58"/>
    <x v="306"/>
    <x v="0"/>
  </r>
  <r>
    <x v="0"/>
    <x v="74"/>
    <x v="74"/>
    <x v="58"/>
    <x v="58"/>
    <x v="58"/>
    <x v="18"/>
    <x v="242"/>
    <x v="16"/>
    <x v="49"/>
    <x v="571"/>
    <x v="42"/>
    <x v="42"/>
    <x v="0"/>
  </r>
  <r>
    <x v="0"/>
    <x v="74"/>
    <x v="74"/>
    <x v="15"/>
    <x v="15"/>
    <x v="15"/>
    <x v="18"/>
    <x v="242"/>
    <x v="16"/>
    <x v="140"/>
    <x v="147"/>
    <x v="58"/>
    <x v="306"/>
    <x v="0"/>
  </r>
  <r>
    <x v="0"/>
    <x v="74"/>
    <x v="74"/>
    <x v="66"/>
    <x v="66"/>
    <x v="66"/>
    <x v="18"/>
    <x v="242"/>
    <x v="16"/>
    <x v="49"/>
    <x v="571"/>
    <x v="42"/>
    <x v="4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B47A72-39E2-490F-BE3B-A79B2A30FB1A}" name="pvt_L" cacheId="2245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1201" firstHeaderRow="0" firstDataRow="1" firstDataCol="1"/>
  <pivotFields count="11">
    <pivotField showAll="0"/>
    <pivotField showAll="0"/>
    <pivotField axis="axisRow" showAll="0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120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1099">
      <pivotArea field="2" type="button" dataOnly="0" labelOnly="1" outline="0" axis="axisRow" fieldPosition="0"/>
    </format>
    <format dxfId="1098">
      <pivotArea outline="0" fieldPosition="0">
        <references count="1">
          <reference field="4294967294" count="1">
            <x v="0"/>
          </reference>
        </references>
      </pivotArea>
    </format>
    <format dxfId="1097">
      <pivotArea outline="0" fieldPosition="0">
        <references count="1">
          <reference field="4294967294" count="1">
            <x v="1"/>
          </reference>
        </references>
      </pivotArea>
    </format>
    <format dxfId="1096">
      <pivotArea outline="0" fieldPosition="0">
        <references count="1">
          <reference field="4294967294" count="1">
            <x v="2"/>
          </reference>
        </references>
      </pivotArea>
    </format>
    <format dxfId="1095">
      <pivotArea outline="0" fieldPosition="0">
        <references count="1">
          <reference field="4294967294" count="1">
            <x v="3"/>
          </reference>
        </references>
      </pivotArea>
    </format>
    <format dxfId="1094">
      <pivotArea outline="0" fieldPosition="0">
        <references count="1">
          <reference field="4294967294" count="1">
            <x v="4"/>
          </reference>
        </references>
      </pivotArea>
    </format>
    <format dxfId="1093">
      <pivotArea outline="0" fieldPosition="0">
        <references count="1">
          <reference field="4294967294" count="1">
            <x v="5"/>
          </reference>
        </references>
      </pivotArea>
    </format>
    <format dxfId="1092">
      <pivotArea outline="0" fieldPosition="0">
        <references count="1">
          <reference field="4294967294" count="1">
            <x v="6"/>
          </reference>
        </references>
      </pivotArea>
    </format>
    <format dxfId="1091">
      <pivotArea field="2" type="button" dataOnly="0" labelOnly="1" outline="0" axis="axisRow" fieldPosition="0"/>
    </format>
    <format dxfId="109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89">
      <pivotArea field="2" type="button" dataOnly="0" labelOnly="1" outline="0" axis="axisRow" fieldPosition="0"/>
    </format>
    <format dxfId="108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87">
      <pivotArea field="2" type="button" dataOnly="0" labelOnly="1" outline="0" axis="axisRow" fieldPosition="0"/>
    </format>
    <format dxfId="108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8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8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250B22-DD0A-460B-A367-8D54F9A06F7F}" name="pvt_M" cacheId="2246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773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75">
        <item x="37"/>
        <item x="41"/>
        <item x="56"/>
        <item x="55"/>
        <item x="51"/>
        <item x="54"/>
        <item x="53"/>
        <item x="52"/>
        <item x="57"/>
        <item x="39"/>
        <item x="18"/>
        <item x="38"/>
        <item x="71"/>
        <item x="70"/>
        <item x="35"/>
        <item x="26"/>
        <item x="60"/>
        <item x="61"/>
        <item x="42"/>
        <item x="33"/>
        <item x="31"/>
        <item x="29"/>
        <item x="44"/>
        <item x="49"/>
        <item x="46"/>
        <item x="45"/>
        <item x="48"/>
        <item x="47"/>
        <item x="50"/>
        <item x="34"/>
        <item x="25"/>
        <item x="17"/>
        <item x="32"/>
        <item x="72"/>
        <item x="73"/>
        <item x="74"/>
        <item x="24"/>
        <item x="30"/>
        <item x="28"/>
        <item x="58"/>
        <item x="59"/>
        <item x="40"/>
        <item x="19"/>
        <item x="63"/>
        <item x="65"/>
        <item x="68"/>
        <item x="66"/>
        <item x="67"/>
        <item x="64"/>
        <item x="69"/>
        <item x="21"/>
        <item x="43"/>
        <item x="62"/>
        <item x="23"/>
        <item x="20"/>
        <item x="0"/>
        <item x="9"/>
        <item x="15"/>
        <item x="14"/>
        <item x="16"/>
        <item x="12"/>
        <item x="10"/>
        <item x="13"/>
        <item x="11"/>
        <item x="36"/>
        <item x="27"/>
        <item x="1"/>
        <item x="4"/>
        <item x="3"/>
        <item x="6"/>
        <item x="5"/>
        <item x="8"/>
        <item x="7"/>
        <item x="2"/>
        <item x="22"/>
      </items>
    </pivotField>
    <pivotField axis="axisRow" showAll="0" insertBlankRow="1" defaultSubtotal="0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</items>
    </pivotField>
    <pivotField showAll="0" defaultSubtotal="0">
      <items count="54">
        <item x="4"/>
        <item x="6"/>
        <item x="8"/>
        <item x="34"/>
        <item x="35"/>
        <item x="36"/>
        <item x="37"/>
        <item x="32"/>
        <item x="44"/>
        <item x="52"/>
        <item x="38"/>
        <item x="45"/>
        <item x="23"/>
        <item x="31"/>
        <item x="30"/>
        <item x="47"/>
        <item x="46"/>
        <item x="33"/>
        <item x="48"/>
        <item x="50"/>
        <item x="27"/>
        <item x="43"/>
        <item x="40"/>
        <item x="39"/>
        <item x="22"/>
        <item x="26"/>
        <item x="17"/>
        <item x="14"/>
        <item x="16"/>
        <item x="12"/>
        <item x="5"/>
        <item x="11"/>
        <item x="3"/>
        <item x="28"/>
        <item x="24"/>
        <item x="15"/>
        <item x="2"/>
        <item x="42"/>
        <item x="7"/>
        <item x="13"/>
        <item x="53"/>
        <item x="0"/>
        <item x="21"/>
        <item x="1"/>
        <item x="20"/>
        <item x="29"/>
        <item x="10"/>
        <item x="9"/>
        <item x="18"/>
        <item x="49"/>
        <item x="25"/>
        <item x="41"/>
        <item x="19"/>
        <item x="51"/>
      </items>
    </pivotField>
    <pivotField showAll="0" defaultSubtotal="0">
      <items count="54">
        <item x="43"/>
        <item x="51"/>
        <item x="16"/>
        <item x="10"/>
        <item x="19"/>
        <item x="3"/>
        <item x="20"/>
        <item x="33"/>
        <item x="31"/>
        <item x="52"/>
        <item x="9"/>
        <item x="44"/>
        <item x="0"/>
        <item x="26"/>
        <item x="5"/>
        <item x="35"/>
        <item x="22"/>
        <item x="32"/>
        <item x="14"/>
        <item x="11"/>
        <item x="41"/>
        <item x="13"/>
        <item x="23"/>
        <item x="17"/>
        <item x="29"/>
        <item x="21"/>
        <item x="25"/>
        <item x="18"/>
        <item x="53"/>
        <item x="27"/>
        <item x="12"/>
        <item x="6"/>
        <item x="34"/>
        <item x="50"/>
        <item x="30"/>
        <item x="8"/>
        <item x="7"/>
        <item x="1"/>
        <item x="36"/>
        <item x="4"/>
        <item x="45"/>
        <item x="48"/>
        <item x="47"/>
        <item x="39"/>
        <item x="40"/>
        <item x="49"/>
        <item x="15"/>
        <item x="2"/>
        <item x="42"/>
        <item x="24"/>
        <item x="28"/>
        <item x="37"/>
        <item x="46"/>
        <item x="38"/>
      </items>
    </pivotField>
    <pivotField axis="axisRow" showAll="0" defaultSubtotal="0">
      <items count="54">
        <item x="4"/>
        <item x="6"/>
        <item x="8"/>
        <item x="34"/>
        <item x="35"/>
        <item x="36"/>
        <item x="37"/>
        <item x="32"/>
        <item x="44"/>
        <item x="52"/>
        <item x="38"/>
        <item x="45"/>
        <item x="23"/>
        <item x="31"/>
        <item x="30"/>
        <item x="47"/>
        <item x="46"/>
        <item x="33"/>
        <item x="48"/>
        <item x="50"/>
        <item x="27"/>
        <item x="43"/>
        <item x="40"/>
        <item x="39"/>
        <item x="22"/>
        <item x="26"/>
        <item x="17"/>
        <item x="14"/>
        <item x="16"/>
        <item x="12"/>
        <item x="5"/>
        <item x="11"/>
        <item x="3"/>
        <item x="28"/>
        <item x="24"/>
        <item x="15"/>
        <item x="2"/>
        <item x="42"/>
        <item x="7"/>
        <item x="13"/>
        <item x="53"/>
        <item x="0"/>
        <item x="21"/>
        <item x="1"/>
        <item x="20"/>
        <item x="29"/>
        <item x="10"/>
        <item x="9"/>
        <item x="18"/>
        <item x="49"/>
        <item x="25"/>
        <item x="41"/>
        <item x="19"/>
        <item x="51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328">
        <item x="327"/>
        <item x="326"/>
        <item x="325"/>
        <item x="324"/>
        <item x="323"/>
        <item x="311"/>
        <item x="321"/>
        <item x="310"/>
        <item x="320"/>
        <item x="322"/>
        <item x="309"/>
        <item x="308"/>
        <item x="296"/>
        <item x="295"/>
        <item x="304"/>
        <item x="294"/>
        <item x="303"/>
        <item x="126"/>
        <item x="85"/>
        <item x="84"/>
        <item x="282"/>
        <item x="125"/>
        <item x="72"/>
        <item x="83"/>
        <item x="56"/>
        <item x="71"/>
        <item x="55"/>
        <item x="82"/>
        <item x="54"/>
        <item x="53"/>
        <item x="81"/>
        <item x="241"/>
        <item x="52"/>
        <item x="124"/>
        <item x="70"/>
        <item x="281"/>
        <item x="293"/>
        <item x="264"/>
        <item x="69"/>
        <item x="234"/>
        <item x="68"/>
        <item x="263"/>
        <item x="280"/>
        <item x="80"/>
        <item x="51"/>
        <item x="67"/>
        <item x="79"/>
        <item x="233"/>
        <item x="289"/>
        <item x="66"/>
        <item x="262"/>
        <item x="78"/>
        <item x="77"/>
        <item x="123"/>
        <item x="261"/>
        <item x="114"/>
        <item x="254"/>
        <item x="65"/>
        <item x="50"/>
        <item x="312"/>
        <item x="49"/>
        <item x="48"/>
        <item x="253"/>
        <item x="122"/>
        <item x="121"/>
        <item x="64"/>
        <item x="47"/>
        <item x="63"/>
        <item x="145"/>
        <item x="46"/>
        <item x="240"/>
        <item x="45"/>
        <item x="120"/>
        <item x="288"/>
        <item x="307"/>
        <item x="225"/>
        <item x="144"/>
        <item x="143"/>
        <item x="142"/>
        <item x="314"/>
        <item x="232"/>
        <item x="119"/>
        <item x="316"/>
        <item x="239"/>
        <item x="300"/>
        <item x="113"/>
        <item x="287"/>
        <item x="104"/>
        <item x="313"/>
        <item x="175"/>
        <item x="252"/>
        <item x="112"/>
        <item x="141"/>
        <item x="277"/>
        <item x="224"/>
        <item x="103"/>
        <item x="305"/>
        <item x="102"/>
        <item x="174"/>
        <item x="101"/>
        <item x="76"/>
        <item x="301"/>
        <item x="223"/>
        <item x="75"/>
        <item x="260"/>
        <item x="238"/>
        <item x="100"/>
        <item x="62"/>
        <item x="286"/>
        <item x="140"/>
        <item x="237"/>
        <item x="259"/>
        <item x="61"/>
        <item x="258"/>
        <item x="60"/>
        <item x="139"/>
        <item x="292"/>
        <item x="99"/>
        <item x="222"/>
        <item x="118"/>
        <item x="111"/>
        <item x="302"/>
        <item x="251"/>
        <item x="299"/>
        <item x="231"/>
        <item x="173"/>
        <item x="250"/>
        <item x="298"/>
        <item x="117"/>
        <item x="276"/>
        <item x="44"/>
        <item x="275"/>
        <item x="319"/>
        <item x="279"/>
        <item x="221"/>
        <item x="110"/>
        <item x="74"/>
        <item x="59"/>
        <item x="210"/>
        <item x="209"/>
        <item x="306"/>
        <item x="98"/>
        <item x="58"/>
        <item x="97"/>
        <item x="318"/>
        <item x="278"/>
        <item x="138"/>
        <item x="208"/>
        <item x="249"/>
        <item x="73"/>
        <item x="96"/>
        <item x="137"/>
        <item x="248"/>
        <item x="43"/>
        <item x="207"/>
        <item x="136"/>
        <item x="297"/>
        <item x="291"/>
        <item x="109"/>
        <item x="247"/>
        <item x="290"/>
        <item x="95"/>
        <item x="230"/>
        <item x="274"/>
        <item x="172"/>
        <item x="257"/>
        <item x="116"/>
        <item x="229"/>
        <item x="193"/>
        <item x="220"/>
        <item x="206"/>
        <item x="115"/>
        <item x="219"/>
        <item x="57"/>
        <item x="236"/>
        <item x="42"/>
        <item x="171"/>
        <item x="218"/>
        <item x="94"/>
        <item x="246"/>
        <item x="108"/>
        <item x="41"/>
        <item x="107"/>
        <item x="285"/>
        <item x="135"/>
        <item x="40"/>
        <item x="217"/>
        <item x="228"/>
        <item x="216"/>
        <item x="317"/>
        <item x="215"/>
        <item x="106"/>
        <item x="192"/>
        <item x="315"/>
        <item x="245"/>
        <item x="191"/>
        <item x="227"/>
        <item x="190"/>
        <item x="170"/>
        <item x="93"/>
        <item x="134"/>
        <item x="133"/>
        <item x="92"/>
        <item x="189"/>
        <item x="169"/>
        <item x="132"/>
        <item x="273"/>
        <item x="91"/>
        <item x="188"/>
        <item x="205"/>
        <item x="204"/>
        <item x="203"/>
        <item x="272"/>
        <item x="187"/>
        <item x="235"/>
        <item x="271"/>
        <item x="214"/>
        <item x="186"/>
        <item x="226"/>
        <item x="39"/>
        <item x="185"/>
        <item x="38"/>
        <item x="184"/>
        <item x="202"/>
        <item x="37"/>
        <item x="244"/>
        <item x="284"/>
        <item x="270"/>
        <item x="201"/>
        <item x="183"/>
        <item x="36"/>
        <item x="182"/>
        <item x="90"/>
        <item x="131"/>
        <item x="256"/>
        <item x="283"/>
        <item x="200"/>
        <item x="105"/>
        <item x="35"/>
        <item x="34"/>
        <item x="130"/>
        <item x="181"/>
        <item x="255"/>
        <item x="33"/>
        <item x="269"/>
        <item x="32"/>
        <item x="168"/>
        <item x="129"/>
        <item x="89"/>
        <item x="167"/>
        <item x="166"/>
        <item x="243"/>
        <item x="268"/>
        <item x="242"/>
        <item x="180"/>
        <item x="213"/>
        <item x="179"/>
        <item x="267"/>
        <item x="212"/>
        <item x="199"/>
        <item x="88"/>
        <item x="31"/>
        <item x="198"/>
        <item x="87"/>
        <item x="211"/>
        <item x="30"/>
        <item x="128"/>
        <item x="127"/>
        <item x="165"/>
        <item x="29"/>
        <item x="28"/>
        <item x="164"/>
        <item x="178"/>
        <item x="177"/>
        <item x="163"/>
        <item x="266"/>
        <item x="27"/>
        <item x="265"/>
        <item x="197"/>
        <item x="26"/>
        <item x="196"/>
        <item x="162"/>
        <item x="25"/>
        <item x="86"/>
        <item x="161"/>
        <item x="160"/>
        <item x="195"/>
        <item x="159"/>
        <item x="158"/>
        <item x="157"/>
        <item x="156"/>
        <item x="155"/>
        <item x="24"/>
        <item x="154"/>
        <item x="153"/>
        <item x="152"/>
        <item x="176"/>
        <item x="23"/>
        <item x="151"/>
        <item x="194"/>
        <item x="19"/>
        <item x="18"/>
        <item x="17"/>
        <item x="150"/>
        <item x="22"/>
        <item x="16"/>
        <item x="15"/>
        <item x="149"/>
        <item x="21"/>
        <item x="14"/>
        <item x="13"/>
        <item x="20"/>
        <item x="12"/>
        <item x="11"/>
        <item x="148"/>
        <item x="147"/>
        <item x="10"/>
        <item x="9"/>
        <item x="8"/>
        <item x="7"/>
        <item x="6"/>
        <item x="146"/>
        <item x="5"/>
        <item x="4"/>
        <item x="3"/>
        <item x="2"/>
        <item x="1"/>
        <item x="0"/>
      </items>
    </pivotField>
    <pivotField dataField="1" showAll="0" defaultSubtotal="0">
      <items count="660">
        <item x="591"/>
        <item x="648"/>
        <item x="612"/>
        <item x="550"/>
        <item x="577"/>
        <item x="615"/>
        <item x="372"/>
        <item x="637"/>
        <item x="318"/>
        <item x="457"/>
        <item x="136"/>
        <item x="659"/>
        <item x="56"/>
        <item x="317"/>
        <item x="487"/>
        <item x="639"/>
        <item x="252"/>
        <item x="55"/>
        <item x="361"/>
        <item x="549"/>
        <item x="622"/>
        <item x="73"/>
        <item x="471"/>
        <item x="54"/>
        <item x="152"/>
        <item x="226"/>
        <item x="135"/>
        <item x="53"/>
        <item x="240"/>
        <item x="296"/>
        <item x="72"/>
        <item x="425"/>
        <item x="265"/>
        <item x="307"/>
        <item x="38"/>
        <item x="134"/>
        <item x="19"/>
        <item x="37"/>
        <item x="52"/>
        <item x="209"/>
        <item x="133"/>
        <item x="537"/>
        <item x="295"/>
        <item x="36"/>
        <item x="479"/>
        <item x="251"/>
        <item x="132"/>
        <item x="495"/>
        <item x="120"/>
        <item x="239"/>
        <item x="103"/>
        <item x="87"/>
        <item x="238"/>
        <item x="119"/>
        <item x="18"/>
        <item x="531"/>
        <item x="35"/>
        <item x="34"/>
        <item x="17"/>
        <item x="386"/>
        <item x="508"/>
        <item x="470"/>
        <item x="406"/>
        <item x="464"/>
        <item x="86"/>
        <item x="118"/>
        <item x="275"/>
        <item x="405"/>
        <item x="102"/>
        <item x="169"/>
        <item x="379"/>
        <item x="33"/>
        <item x="225"/>
        <item x="151"/>
        <item x="486"/>
        <item x="16"/>
        <item x="224"/>
        <item x="15"/>
        <item x="117"/>
        <item x="185"/>
        <item x="32"/>
        <item x="264"/>
        <item x="306"/>
        <item x="71"/>
        <item x="415"/>
        <item x="284"/>
        <item x="168"/>
        <item x="116"/>
        <item x="101"/>
        <item x="469"/>
        <item x="51"/>
        <item x="223"/>
        <item x="115"/>
        <item x="283"/>
        <item x="131"/>
        <item x="385"/>
        <item x="530"/>
        <item x="85"/>
        <item x="414"/>
        <item x="150"/>
        <item x="434"/>
        <item x="14"/>
        <item x="404"/>
        <item x="222"/>
        <item x="70"/>
        <item x="305"/>
        <item x="184"/>
        <item x="485"/>
        <item x="13"/>
        <item x="183"/>
        <item x="149"/>
        <item x="167"/>
        <item x="198"/>
        <item x="602"/>
        <item x="69"/>
        <item x="197"/>
        <item x="196"/>
        <item x="403"/>
        <item x="304"/>
        <item x="263"/>
        <item x="567"/>
        <item x="221"/>
        <item x="182"/>
        <item x="378"/>
        <item x="371"/>
        <item x="433"/>
        <item x="571"/>
        <item x="344"/>
        <item x="181"/>
        <item x="424"/>
        <item x="237"/>
        <item x="100"/>
        <item x="31"/>
        <item x="99"/>
        <item x="166"/>
        <item x="423"/>
        <item x="316"/>
        <item x="384"/>
        <item x="68"/>
        <item x="432"/>
        <item x="282"/>
        <item x="326"/>
        <item x="351"/>
        <item x="294"/>
        <item x="114"/>
        <item x="98"/>
        <item x="50"/>
        <item x="325"/>
        <item x="502"/>
        <item x="220"/>
        <item x="12"/>
        <item x="250"/>
        <item x="165"/>
        <item x="335"/>
        <item x="49"/>
        <item x="164"/>
        <item x="293"/>
        <item x="30"/>
        <item x="48"/>
        <item x="208"/>
        <item x="180"/>
        <item x="526"/>
        <item x="636"/>
        <item x="130"/>
        <item x="576"/>
        <item x="315"/>
        <item x="179"/>
        <item x="11"/>
        <item x="456"/>
        <item x="148"/>
        <item x="178"/>
        <item x="97"/>
        <item x="314"/>
        <item x="249"/>
        <item x="84"/>
        <item x="195"/>
        <item x="163"/>
        <item x="394"/>
        <item x="47"/>
        <item x="194"/>
        <item x="29"/>
        <item x="147"/>
        <item x="281"/>
        <item x="516"/>
        <item x="28"/>
        <item x="162"/>
        <item x="177"/>
        <item x="566"/>
        <item x="292"/>
        <item x="46"/>
        <item x="193"/>
        <item x="146"/>
        <item x="83"/>
        <item x="334"/>
        <item x="161"/>
        <item x="402"/>
        <item x="67"/>
        <item x="45"/>
        <item x="370"/>
        <item x="413"/>
        <item x="129"/>
        <item x="262"/>
        <item x="160"/>
        <item x="360"/>
        <item x="333"/>
        <item x="207"/>
        <item x="515"/>
        <item x="10"/>
        <item x="192"/>
        <item x="96"/>
        <item x="206"/>
        <item x="507"/>
        <item x="291"/>
        <item x="274"/>
        <item x="548"/>
        <item x="236"/>
        <item x="113"/>
        <item x="359"/>
        <item x="82"/>
        <item x="159"/>
        <item x="303"/>
        <item x="9"/>
        <item x="8"/>
        <item x="81"/>
        <item x="332"/>
        <item x="431"/>
        <item x="313"/>
        <item x="273"/>
        <item x="494"/>
        <item x="358"/>
        <item x="7"/>
        <item x="585"/>
        <item x="219"/>
        <item x="66"/>
        <item x="205"/>
        <item x="393"/>
        <item x="442"/>
        <item x="290"/>
        <item x="65"/>
        <item x="493"/>
        <item x="27"/>
        <item x="369"/>
        <item x="191"/>
        <item x="543"/>
        <item x="64"/>
        <item x="218"/>
        <item x="501"/>
        <item x="621"/>
        <item x="401"/>
        <item x="26"/>
        <item x="422"/>
        <item x="128"/>
        <item x="383"/>
        <item x="63"/>
        <item x="80"/>
        <item x="95"/>
        <item x="302"/>
        <item x="112"/>
        <item x="6"/>
        <item x="272"/>
        <item x="261"/>
        <item x="555"/>
        <item x="176"/>
        <item x="94"/>
        <item x="478"/>
        <item x="271"/>
        <item x="412"/>
        <item x="343"/>
        <item x="217"/>
        <item x="260"/>
        <item x="145"/>
        <item x="658"/>
        <item x="158"/>
        <item x="463"/>
        <item x="492"/>
        <item x="248"/>
        <item x="25"/>
        <item x="190"/>
        <item x="93"/>
        <item x="324"/>
        <item x="111"/>
        <item x="216"/>
        <item x="430"/>
        <item x="342"/>
        <item x="247"/>
        <item x="575"/>
        <item x="421"/>
        <item x="235"/>
        <item x="215"/>
        <item x="323"/>
        <item x="214"/>
        <item x="441"/>
        <item x="597"/>
        <item x="554"/>
        <item x="175"/>
        <item x="127"/>
        <item x="429"/>
        <item x="368"/>
        <item x="468"/>
        <item x="440"/>
        <item x="301"/>
        <item x="500"/>
        <item x="570"/>
        <item x="357"/>
        <item x="341"/>
        <item x="144"/>
        <item x="529"/>
        <item x="143"/>
        <item x="449"/>
        <item x="542"/>
        <item x="340"/>
        <item x="259"/>
        <item x="657"/>
        <item x="280"/>
        <item x="258"/>
        <item x="246"/>
        <item x="79"/>
        <item x="400"/>
        <item x="142"/>
        <item x="411"/>
        <item x="189"/>
        <item x="620"/>
        <item x="528"/>
        <item x="462"/>
        <item x="606"/>
        <item x="234"/>
        <item x="110"/>
        <item x="506"/>
        <item x="477"/>
        <item x="635"/>
        <item x="455"/>
        <item x="590"/>
        <item x="188"/>
        <item x="553"/>
        <item x="350"/>
        <item x="126"/>
        <item x="5"/>
        <item x="536"/>
        <item x="454"/>
        <item x="448"/>
        <item x="233"/>
        <item x="382"/>
        <item x="525"/>
        <item x="514"/>
        <item x="174"/>
        <item x="562"/>
        <item x="596"/>
        <item x="541"/>
        <item x="157"/>
        <item x="484"/>
        <item x="257"/>
        <item x="410"/>
        <item x="392"/>
        <item x="439"/>
        <item x="270"/>
        <item x="499"/>
        <item x="245"/>
        <item x="584"/>
        <item x="420"/>
        <item x="173"/>
        <item x="438"/>
        <item x="428"/>
        <item x="399"/>
        <item x="524"/>
        <item x="647"/>
        <item x="427"/>
        <item x="652"/>
        <item x="419"/>
        <item x="204"/>
        <item x="349"/>
        <item x="437"/>
        <item x="398"/>
        <item x="521"/>
        <item x="244"/>
        <item x="397"/>
        <item x="213"/>
        <item x="92"/>
        <item x="156"/>
        <item x="589"/>
        <item x="300"/>
        <item x="552"/>
        <item x="367"/>
        <item x="256"/>
        <item x="212"/>
        <item x="203"/>
        <item x="279"/>
        <item x="109"/>
        <item x="312"/>
        <item x="108"/>
        <item x="447"/>
        <item x="107"/>
        <item x="476"/>
        <item x="595"/>
        <item x="24"/>
        <item x="520"/>
        <item x="44"/>
        <item x="535"/>
        <item x="62"/>
        <item x="232"/>
        <item x="446"/>
        <item x="574"/>
        <item x="601"/>
        <item x="339"/>
        <item x="377"/>
        <item x="391"/>
        <item x="4"/>
        <item x="540"/>
        <item x="231"/>
        <item x="523"/>
        <item x="594"/>
        <item x="61"/>
        <item x="583"/>
        <item x="3"/>
        <item x="278"/>
        <item x="60"/>
        <item x="376"/>
        <item x="547"/>
        <item x="539"/>
        <item x="141"/>
        <item x="513"/>
        <item x="348"/>
        <item x="505"/>
        <item x="605"/>
        <item x="461"/>
        <item x="289"/>
        <item x="269"/>
        <item x="23"/>
        <item x="347"/>
        <item x="522"/>
        <item x="78"/>
        <item x="346"/>
        <item x="630"/>
        <item x="560"/>
        <item x="619"/>
        <item x="375"/>
        <item x="409"/>
        <item x="565"/>
        <item x="338"/>
        <item x="534"/>
        <item x="77"/>
        <item x="582"/>
        <item x="140"/>
        <item x="322"/>
        <item x="491"/>
        <item x="600"/>
        <item x="187"/>
        <item x="512"/>
        <item x="186"/>
        <item x="91"/>
        <item x="527"/>
        <item x="390"/>
        <item x="288"/>
        <item x="581"/>
        <item x="43"/>
        <item x="366"/>
        <item x="504"/>
        <item x="125"/>
        <item x="230"/>
        <item x="483"/>
        <item x="538"/>
        <item x="604"/>
        <item x="2"/>
        <item x="599"/>
        <item x="331"/>
        <item x="569"/>
        <item x="498"/>
        <item x="559"/>
        <item x="299"/>
        <item x="519"/>
        <item x="229"/>
        <item x="634"/>
        <item x="490"/>
        <item x="321"/>
        <item x="356"/>
        <item x="228"/>
        <item x="436"/>
        <item x="330"/>
        <item x="511"/>
        <item x="355"/>
        <item x="59"/>
        <item x="124"/>
        <item x="381"/>
        <item x="139"/>
        <item x="320"/>
        <item x="558"/>
        <item x="311"/>
        <item x="365"/>
        <item x="656"/>
        <item x="255"/>
        <item x="460"/>
        <item x="58"/>
        <item x="629"/>
        <item x="489"/>
        <item x="467"/>
        <item x="546"/>
        <item x="475"/>
        <item x="408"/>
        <item x="364"/>
        <item x="319"/>
        <item x="533"/>
        <item x="453"/>
        <item x="618"/>
        <item x="106"/>
        <item x="329"/>
        <item x="155"/>
        <item x="202"/>
        <item x="482"/>
        <item x="201"/>
        <item x="611"/>
        <item x="389"/>
        <item x="497"/>
        <item x="154"/>
        <item x="642"/>
        <item x="518"/>
        <item x="105"/>
        <item x="510"/>
        <item x="90"/>
        <item x="42"/>
        <item x="418"/>
        <item x="598"/>
        <item x="328"/>
        <item x="426"/>
        <item x="646"/>
        <item x="268"/>
        <item x="503"/>
        <item x="580"/>
        <item x="172"/>
        <item x="337"/>
        <item x="445"/>
        <item x="655"/>
        <item x="41"/>
        <item x="287"/>
        <item x="557"/>
        <item x="22"/>
        <item x="633"/>
        <item x="123"/>
        <item x="76"/>
        <item x="171"/>
        <item x="435"/>
        <item x="628"/>
        <item x="40"/>
        <item x="310"/>
        <item x="170"/>
        <item x="588"/>
        <item x="89"/>
        <item x="579"/>
        <item x="363"/>
        <item x="1"/>
        <item x="452"/>
        <item x="243"/>
        <item x="286"/>
        <item x="354"/>
        <item x="645"/>
        <item x="417"/>
        <item x="532"/>
        <item x="578"/>
        <item x="396"/>
        <item x="211"/>
        <item x="327"/>
        <item x="21"/>
        <item x="388"/>
        <item x="227"/>
        <item x="466"/>
        <item x="444"/>
        <item x="104"/>
        <item x="593"/>
        <item x="407"/>
        <item x="474"/>
        <item x="459"/>
        <item x="617"/>
        <item x="473"/>
        <item x="75"/>
        <item x="472"/>
        <item x="545"/>
        <item x="374"/>
        <item x="353"/>
        <item x="200"/>
        <item x="277"/>
        <item x="488"/>
        <item x="451"/>
        <item x="387"/>
        <item x="564"/>
        <item x="638"/>
        <item x="57"/>
        <item x="0"/>
        <item x="509"/>
        <item x="380"/>
        <item x="632"/>
        <item x="651"/>
        <item x="285"/>
        <item x="610"/>
        <item x="561"/>
        <item x="122"/>
        <item x="517"/>
        <item x="481"/>
        <item x="443"/>
        <item x="603"/>
        <item x="592"/>
        <item x="254"/>
        <item x="609"/>
        <item x="121"/>
        <item x="298"/>
        <item x="276"/>
        <item x="20"/>
        <item x="654"/>
        <item x="253"/>
        <item x="210"/>
        <item x="242"/>
        <item x="138"/>
        <item x="496"/>
        <item x="352"/>
        <item x="395"/>
        <item x="336"/>
        <item x="608"/>
        <item x="137"/>
        <item x="362"/>
        <item x="267"/>
        <item x="556"/>
        <item x="480"/>
        <item x="641"/>
        <item x="153"/>
        <item x="297"/>
        <item x="573"/>
        <item x="416"/>
        <item x="650"/>
        <item x="551"/>
        <item x="625"/>
        <item x="450"/>
        <item x="266"/>
        <item x="39"/>
        <item x="373"/>
        <item x="644"/>
        <item x="458"/>
        <item x="309"/>
        <item x="241"/>
        <item x="74"/>
        <item x="614"/>
        <item x="308"/>
        <item x="607"/>
        <item x="465"/>
        <item x="572"/>
        <item x="616"/>
        <item x="613"/>
        <item x="627"/>
        <item x="563"/>
        <item x="88"/>
        <item x="568"/>
        <item x="624"/>
        <item x="199"/>
        <item x="631"/>
        <item x="643"/>
        <item x="649"/>
        <item x="653"/>
        <item x="640"/>
        <item x="544"/>
        <item x="587"/>
        <item x="345"/>
        <item x="586"/>
        <item x="626"/>
        <item x="623"/>
      </items>
    </pivotField>
    <pivotField dataField="1" showAll="0" defaultSubtotal="0">
      <items count="228">
        <item x="56"/>
        <item x="70"/>
        <item x="82"/>
        <item x="79"/>
        <item x="53"/>
        <item x="72"/>
        <item x="37"/>
        <item x="71"/>
        <item x="46"/>
        <item x="84"/>
        <item x="55"/>
        <item x="106"/>
        <item x="54"/>
        <item x="91"/>
        <item x="114"/>
        <item x="69"/>
        <item x="62"/>
        <item x="50"/>
        <item x="83"/>
        <item x="64"/>
        <item x="61"/>
        <item x="68"/>
        <item x="182"/>
        <item x="52"/>
        <item x="113"/>
        <item x="78"/>
        <item x="67"/>
        <item x="80"/>
        <item x="45"/>
        <item x="121"/>
        <item x="66"/>
        <item x="51"/>
        <item x="167"/>
        <item x="34"/>
        <item x="81"/>
        <item x="94"/>
        <item x="206"/>
        <item x="35"/>
        <item x="98"/>
        <item x="177"/>
        <item x="147"/>
        <item x="18"/>
        <item x="135"/>
        <item x="49"/>
        <item x="193"/>
        <item x="48"/>
        <item x="221"/>
        <item x="63"/>
        <item x="174"/>
        <item x="181"/>
        <item x="105"/>
        <item x="112"/>
        <item x="100"/>
        <item x="171"/>
        <item x="215"/>
        <item x="146"/>
        <item x="77"/>
        <item x="213"/>
        <item x="39"/>
        <item x="47"/>
        <item x="65"/>
        <item x="59"/>
        <item x="36"/>
        <item x="104"/>
        <item x="169"/>
        <item x="154"/>
        <item x="162"/>
        <item x="185"/>
        <item x="111"/>
        <item x="202"/>
        <item x="58"/>
        <item x="118"/>
        <item x="224"/>
        <item x="227"/>
        <item x="120"/>
        <item x="188"/>
        <item x="170"/>
        <item x="60"/>
        <item x="217"/>
        <item x="44"/>
        <item x="192"/>
        <item x="101"/>
        <item x="214"/>
        <item x="76"/>
        <item x="179"/>
        <item x="209"/>
        <item x="95"/>
        <item x="175"/>
        <item x="141"/>
        <item x="124"/>
        <item x="225"/>
        <item x="103"/>
        <item x="198"/>
        <item x="92"/>
        <item x="210"/>
        <item x="149"/>
        <item x="211"/>
        <item x="176"/>
        <item x="216"/>
        <item x="110"/>
        <item x="123"/>
        <item x="220"/>
        <item x="125"/>
        <item x="186"/>
        <item x="207"/>
        <item x="144"/>
        <item x="102"/>
        <item x="201"/>
        <item x="226"/>
        <item x="223"/>
        <item x="75"/>
        <item x="203"/>
        <item x="107"/>
        <item x="26"/>
        <item x="145"/>
        <item x="158"/>
        <item x="139"/>
        <item x="19"/>
        <item x="38"/>
        <item x="42"/>
        <item x="191"/>
        <item x="74"/>
        <item x="109"/>
        <item x="43"/>
        <item x="218"/>
        <item x="163"/>
        <item x="222"/>
        <item x="73"/>
        <item x="208"/>
        <item x="131"/>
        <item x="90"/>
        <item x="219"/>
        <item x="137"/>
        <item x="33"/>
        <item x="187"/>
        <item x="97"/>
        <item x="117"/>
        <item x="152"/>
        <item x="197"/>
        <item x="108"/>
        <item x="57"/>
        <item x="99"/>
        <item x="160"/>
        <item x="180"/>
        <item x="93"/>
        <item x="122"/>
        <item x="168"/>
        <item x="41"/>
        <item x="173"/>
        <item x="153"/>
        <item x="164"/>
        <item x="88"/>
        <item x="150"/>
        <item x="119"/>
        <item x="14"/>
        <item x="89"/>
        <item x="172"/>
        <item x="159"/>
        <item x="200"/>
        <item x="178"/>
        <item x="27"/>
        <item x="24"/>
        <item x="199"/>
        <item x="86"/>
        <item x="212"/>
        <item x="17"/>
        <item x="138"/>
        <item x="161"/>
        <item x="196"/>
        <item x="40"/>
        <item x="96"/>
        <item x="31"/>
        <item x="205"/>
        <item x="32"/>
        <item x="204"/>
        <item x="142"/>
        <item x="16"/>
        <item x="190"/>
        <item x="151"/>
        <item x="136"/>
        <item x="143"/>
        <item x="189"/>
        <item x="184"/>
        <item x="140"/>
        <item x="30"/>
        <item x="15"/>
        <item x="165"/>
        <item x="87"/>
        <item x="183"/>
        <item x="166"/>
        <item x="29"/>
        <item x="116"/>
        <item x="115"/>
        <item x="157"/>
        <item x="156"/>
        <item x="195"/>
        <item x="28"/>
        <item x="127"/>
        <item x="133"/>
        <item x="23"/>
        <item x="194"/>
        <item x="130"/>
        <item x="85"/>
        <item x="132"/>
        <item x="13"/>
        <item x="8"/>
        <item x="25"/>
        <item x="22"/>
        <item x="148"/>
        <item x="129"/>
        <item x="134"/>
        <item x="155"/>
        <item x="12"/>
        <item x="4"/>
        <item x="6"/>
        <item x="21"/>
        <item x="11"/>
        <item x="20"/>
        <item x="7"/>
        <item x="10"/>
        <item x="128"/>
        <item x="2"/>
        <item x="9"/>
        <item x="3"/>
        <item x="126"/>
        <item x="5"/>
        <item x="1"/>
        <item x="0"/>
      </items>
    </pivotField>
    <pivotField dataField="1" showAll="0" defaultSubtotal="0">
      <items count="703">
        <item x="55"/>
        <item x="198"/>
        <item x="37"/>
        <item x="186"/>
        <item x="18"/>
        <item x="211"/>
        <item x="210"/>
        <item x="69"/>
        <item x="89"/>
        <item x="417"/>
        <item x="107"/>
        <item x="262"/>
        <item x="466"/>
        <item x="108"/>
        <item x="122"/>
        <item x="213"/>
        <item x="106"/>
        <item x="157"/>
        <item x="175"/>
        <item x="19"/>
        <item x="99"/>
        <item x="444"/>
        <item x="169"/>
        <item x="189"/>
        <item x="34"/>
        <item x="224"/>
        <item x="143"/>
        <item x="35"/>
        <item x="174"/>
        <item x="103"/>
        <item x="78"/>
        <item x="14"/>
        <item x="319"/>
        <item x="520"/>
        <item x="176"/>
        <item x="173"/>
        <item x="141"/>
        <item x="481"/>
        <item x="120"/>
        <item x="17"/>
        <item x="96"/>
        <item x="633"/>
        <item x="56"/>
        <item x="196"/>
        <item x="39"/>
        <item x="102"/>
        <item x="192"/>
        <item x="71"/>
        <item x="36"/>
        <item x="332"/>
        <item x="16"/>
        <item x="81"/>
        <item x="158"/>
        <item x="46"/>
        <item x="199"/>
        <item x="123"/>
        <item x="594"/>
        <item x="15"/>
        <item x="208"/>
        <item x="195"/>
        <item x="616"/>
        <item x="70"/>
        <item x="399"/>
        <item x="431"/>
        <item x="245"/>
        <item x="54"/>
        <item x="646"/>
        <item x="86"/>
        <item x="387"/>
        <item x="508"/>
        <item x="65"/>
        <item x="172"/>
        <item x="249"/>
        <item x="104"/>
        <item x="212"/>
        <item x="353"/>
        <item x="284"/>
        <item x="272"/>
        <item x="53"/>
        <item x="316"/>
        <item x="164"/>
        <item x="583"/>
        <item x="287"/>
        <item x="150"/>
        <item x="367"/>
        <item x="88"/>
        <item x="440"/>
        <item x="355"/>
        <item x="623"/>
        <item x="222"/>
        <item x="248"/>
        <item x="331"/>
        <item x="26"/>
        <item x="426"/>
        <item x="365"/>
        <item x="500"/>
        <item x="87"/>
        <item x="509"/>
        <item x="38"/>
        <item x="553"/>
        <item x="100"/>
        <item x="271"/>
        <item x="318"/>
        <item x="142"/>
        <item x="480"/>
        <item x="702"/>
        <item x="197"/>
        <item x="218"/>
        <item x="652"/>
        <item x="465"/>
        <item x="134"/>
        <item x="414"/>
        <item x="376"/>
        <item x="50"/>
        <item x="526"/>
        <item x="33"/>
        <item x="263"/>
        <item x="304"/>
        <item x="168"/>
        <item x="225"/>
        <item x="270"/>
        <item x="140"/>
        <item x="343"/>
        <item x="317"/>
        <item x="105"/>
        <item x="180"/>
        <item x="490"/>
        <item x="125"/>
        <item x="340"/>
        <item x="499"/>
        <item x="13"/>
        <item x="8"/>
        <item x="306"/>
        <item x="237"/>
        <item x="183"/>
        <item x="68"/>
        <item x="127"/>
        <item x="133"/>
        <item x="384"/>
        <item x="247"/>
        <item x="260"/>
        <item x="701"/>
        <item x="171"/>
        <item x="312"/>
        <item x="62"/>
        <item x="396"/>
        <item x="603"/>
        <item x="286"/>
        <item x="344"/>
        <item x="408"/>
        <item x="154"/>
        <item x="375"/>
        <item x="124"/>
        <item x="156"/>
        <item x="52"/>
        <item x="139"/>
        <item x="85"/>
        <item x="551"/>
        <item x="682"/>
        <item x="578"/>
        <item x="383"/>
        <item x="364"/>
        <item x="443"/>
        <item x="80"/>
        <item x="261"/>
        <item x="519"/>
        <item x="227"/>
        <item x="295"/>
        <item x="27"/>
        <item x="24"/>
        <item x="501"/>
        <item x="366"/>
        <item x="609"/>
        <item x="84"/>
        <item x="438"/>
        <item x="155"/>
        <item x="544"/>
        <item x="257"/>
        <item x="622"/>
        <item x="61"/>
        <item x="138"/>
        <item x="246"/>
        <item x="416"/>
        <item x="301"/>
        <item x="386"/>
        <item x="472"/>
        <item x="434"/>
        <item x="235"/>
        <item x="45"/>
        <item x="12"/>
        <item x="283"/>
        <item x="349"/>
        <item x="185"/>
        <item x="112"/>
        <item x="604"/>
        <item x="253"/>
        <item x="429"/>
        <item x="581"/>
        <item x="570"/>
        <item x="170"/>
        <item x="577"/>
        <item x="559"/>
        <item x="277"/>
        <item x="644"/>
        <item x="294"/>
        <item x="315"/>
        <item x="450"/>
        <item x="137"/>
        <item x="374"/>
        <item x="51"/>
        <item x="126"/>
        <item x="397"/>
        <item x="662"/>
        <item x="537"/>
        <item x="425"/>
        <item x="147"/>
        <item x="407"/>
        <item x="615"/>
        <item x="568"/>
        <item x="31"/>
        <item x="550"/>
        <item x="298"/>
        <item x="338"/>
        <item x="330"/>
        <item x="149"/>
        <item x="184"/>
        <item x="32"/>
        <item x="4"/>
        <item x="329"/>
        <item x="6"/>
        <item x="359"/>
        <item x="67"/>
        <item x="342"/>
        <item x="420"/>
        <item x="328"/>
        <item x="398"/>
        <item x="442"/>
        <item x="77"/>
        <item x="285"/>
        <item x="498"/>
        <item x="291"/>
        <item x="561"/>
        <item x="305"/>
        <item x="660"/>
        <item x="121"/>
        <item x="516"/>
        <item x="101"/>
        <item x="269"/>
        <item x="391"/>
        <item x="363"/>
        <item x="591"/>
        <item x="303"/>
        <item x="236"/>
        <item x="82"/>
        <item x="114"/>
        <item x="406"/>
        <item x="313"/>
        <item x="354"/>
        <item x="339"/>
        <item x="643"/>
        <item x="66"/>
        <item x="203"/>
        <item x="152"/>
        <item x="441"/>
        <item x="385"/>
        <item x="451"/>
        <item x="477"/>
        <item x="97"/>
        <item x="700"/>
        <item x="223"/>
        <item x="30"/>
        <item x="314"/>
        <item x="205"/>
        <item x="49"/>
        <item x="585"/>
        <item x="395"/>
        <item x="608"/>
        <item x="362"/>
        <item x="111"/>
        <item x="410"/>
        <item x="188"/>
        <item x="209"/>
        <item x="402"/>
        <item x="497"/>
        <item x="361"/>
        <item x="48"/>
        <item x="11"/>
        <item x="324"/>
        <item x="507"/>
        <item x="638"/>
        <item x="552"/>
        <item x="281"/>
        <item x="454"/>
        <item x="193"/>
        <item x="590"/>
        <item x="119"/>
        <item x="151"/>
        <item x="230"/>
        <item x="341"/>
        <item x="259"/>
        <item x="379"/>
        <item x="563"/>
        <item x="153"/>
        <item x="651"/>
        <item x="83"/>
        <item x="256"/>
        <item x="674"/>
        <item x="541"/>
        <item x="229"/>
        <item x="268"/>
        <item x="645"/>
        <item x="572"/>
        <item x="282"/>
        <item x="534"/>
        <item x="7"/>
        <item x="489"/>
        <item x="549"/>
        <item x="29"/>
        <item x="458"/>
        <item x="556"/>
        <item x="10"/>
        <item x="479"/>
        <item x="530"/>
        <item x="631"/>
        <item x="276"/>
        <item x="699"/>
        <item x="446"/>
        <item x="422"/>
        <item x="517"/>
        <item x="311"/>
        <item x="464"/>
        <item x="206"/>
        <item x="280"/>
        <item x="267"/>
        <item x="351"/>
        <item x="691"/>
        <item x="244"/>
        <item x="592"/>
        <item x="439"/>
        <item x="494"/>
        <item x="456"/>
        <item x="523"/>
        <item x="536"/>
        <item x="325"/>
        <item x="474"/>
        <item x="160"/>
        <item x="698"/>
        <item x="515"/>
        <item x="166"/>
        <item x="327"/>
        <item x="382"/>
        <item x="687"/>
        <item x="47"/>
        <item x="483"/>
        <item x="636"/>
        <item x="242"/>
        <item x="681"/>
        <item x="546"/>
        <item x="471"/>
        <item x="525"/>
        <item x="241"/>
        <item x="488"/>
        <item x="423"/>
        <item x="389"/>
        <item x="478"/>
        <item x="661"/>
        <item x="574"/>
        <item x="63"/>
        <item x="302"/>
        <item x="115"/>
        <item x="2"/>
        <item x="136"/>
        <item x="632"/>
        <item x="352"/>
        <item x="676"/>
        <item x="424"/>
        <item x="566"/>
        <item x="433"/>
        <item x="411"/>
        <item x="135"/>
        <item x="163"/>
        <item x="373"/>
        <item x="524"/>
        <item x="95"/>
        <item x="621"/>
        <item x="582"/>
        <item x="560"/>
        <item x="372"/>
        <item x="252"/>
        <item x="462"/>
        <item x="79"/>
        <item x="217"/>
        <item x="518"/>
        <item x="231"/>
        <item x="204"/>
        <item x="612"/>
        <item x="675"/>
        <item x="394"/>
        <item x="254"/>
        <item x="279"/>
        <item x="350"/>
        <item x="165"/>
        <item x="496"/>
        <item x="360"/>
        <item x="432"/>
        <item x="194"/>
        <item x="146"/>
        <item x="415"/>
        <item x="506"/>
        <item x="403"/>
        <item x="118"/>
        <item x="531"/>
        <item x="512"/>
        <item x="487"/>
        <item x="219"/>
        <item x="692"/>
        <item x="278"/>
        <item x="293"/>
        <item x="405"/>
        <item x="326"/>
        <item x="9"/>
        <item x="629"/>
        <item x="527"/>
        <item x="347"/>
        <item x="221"/>
        <item x="413"/>
        <item x="542"/>
        <item x="455"/>
        <item x="258"/>
        <item x="98"/>
        <item x="28"/>
        <item x="680"/>
        <item x="409"/>
        <item x="449"/>
        <item x="607"/>
        <item x="463"/>
        <item x="613"/>
        <item x="475"/>
        <item x="23"/>
        <item x="392"/>
        <item x="3"/>
        <item x="602"/>
        <item x="573"/>
        <item x="371"/>
        <item x="620"/>
        <item x="642"/>
        <item x="64"/>
        <item x="299"/>
        <item x="564"/>
        <item x="76"/>
        <item x="207"/>
        <item x="404"/>
        <item x="588"/>
        <item x="44"/>
        <item x="179"/>
        <item x="628"/>
        <item x="93"/>
        <item x="337"/>
        <item x="667"/>
        <item x="232"/>
        <item x="275"/>
        <item x="589"/>
        <item x="190"/>
        <item x="447"/>
        <item x="412"/>
        <item x="421"/>
        <item x="148"/>
        <item x="504"/>
        <item x="132"/>
        <item x="5"/>
        <item x="116"/>
        <item x="457"/>
        <item x="243"/>
        <item x="300"/>
        <item x="640"/>
        <item x="233"/>
        <item x="162"/>
        <item x="167"/>
        <item x="266"/>
        <item x="693"/>
        <item x="624"/>
        <item x="94"/>
        <item x="181"/>
        <item x="335"/>
        <item x="545"/>
        <item x="393"/>
        <item x="673"/>
        <item x="659"/>
        <item x="348"/>
        <item x="495"/>
        <item x="117"/>
        <item x="321"/>
        <item x="380"/>
        <item x="59"/>
        <item x="554"/>
        <item x="567"/>
        <item x="513"/>
        <item x="635"/>
        <item x="290"/>
        <item x="220"/>
        <item x="437"/>
        <item x="461"/>
        <item x="255"/>
        <item x="543"/>
        <item x="336"/>
        <item x="697"/>
        <item x="679"/>
        <item x="600"/>
        <item x="686"/>
        <item x="214"/>
        <item x="538"/>
        <item x="419"/>
        <item x="25"/>
        <item x="91"/>
        <item x="182"/>
        <item x="234"/>
        <item x="666"/>
        <item x="637"/>
        <item x="618"/>
        <item x="239"/>
        <item x="60"/>
        <item x="528"/>
        <item x="601"/>
        <item x="626"/>
        <item x="358"/>
        <item x="502"/>
        <item x="309"/>
        <item x="470"/>
        <item x="310"/>
        <item x="558"/>
        <item x="486"/>
        <item x="535"/>
        <item x="670"/>
        <item x="22"/>
        <item x="611"/>
        <item x="597"/>
        <item x="587"/>
        <item x="655"/>
        <item x="357"/>
        <item x="514"/>
        <item x="492"/>
        <item x="576"/>
        <item x="468"/>
        <item x="292"/>
        <item x="521"/>
        <item x="484"/>
        <item x="548"/>
        <item x="110"/>
        <item x="505"/>
        <item x="75"/>
        <item x="614"/>
        <item x="627"/>
        <item x="547"/>
        <item x="557"/>
        <item x="381"/>
        <item x="672"/>
        <item x="390"/>
        <item x="323"/>
        <item x="322"/>
        <item x="596"/>
        <item x="113"/>
        <item x="619"/>
        <item x="42"/>
        <item x="448"/>
        <item x="131"/>
        <item x="669"/>
        <item x="529"/>
        <item x="430"/>
        <item x="43"/>
        <item x="696"/>
        <item x="191"/>
        <item x="685"/>
        <item x="658"/>
        <item x="630"/>
        <item x="689"/>
        <item x="485"/>
        <item x="370"/>
        <item x="683"/>
        <item x="334"/>
        <item x="476"/>
        <item x="427"/>
        <item x="650"/>
        <item x="333"/>
        <item x="469"/>
        <item x="128"/>
        <item x="565"/>
        <item x="346"/>
        <item x="586"/>
        <item x="647"/>
        <item x="511"/>
        <item x="599"/>
        <item x="671"/>
        <item x="648"/>
        <item x="320"/>
        <item x="593"/>
        <item x="401"/>
        <item x="378"/>
        <item x="571"/>
        <item x="522"/>
        <item x="92"/>
        <item x="555"/>
        <item x="695"/>
        <item x="202"/>
        <item x="74"/>
        <item x="649"/>
        <item x="130"/>
        <item x="540"/>
        <item x="58"/>
        <item x="533"/>
        <item x="41"/>
        <item x="625"/>
        <item x="428"/>
        <item x="228"/>
        <item x="654"/>
        <item x="580"/>
        <item x="369"/>
        <item x="657"/>
        <item x="510"/>
        <item x="641"/>
        <item x="459"/>
        <item x="665"/>
        <item x="491"/>
        <item x="610"/>
        <item x="562"/>
        <item x="493"/>
        <item x="694"/>
        <item x="460"/>
        <item x="345"/>
        <item x="453"/>
        <item x="503"/>
        <item x="201"/>
        <item x="452"/>
        <item x="436"/>
        <item x="400"/>
        <item x="274"/>
        <item x="161"/>
        <item x="1"/>
        <item x="598"/>
        <item x="73"/>
        <item x="21"/>
        <item x="445"/>
        <item x="569"/>
        <item x="368"/>
        <item x="289"/>
        <item x="579"/>
        <item x="72"/>
        <item x="634"/>
        <item x="265"/>
        <item x="377"/>
        <item x="109"/>
        <item x="240"/>
        <item x="226"/>
        <item x="215"/>
        <item x="690"/>
        <item x="467"/>
        <item x="129"/>
        <item x="678"/>
        <item x="288"/>
        <item x="273"/>
        <item x="539"/>
        <item x="606"/>
        <item x="177"/>
        <item x="297"/>
        <item x="251"/>
        <item x="216"/>
        <item x="418"/>
        <item x="668"/>
        <item x="145"/>
        <item x="57"/>
        <item x="0"/>
        <item x="584"/>
        <item x="296"/>
        <item x="435"/>
        <item x="532"/>
        <item x="264"/>
        <item x="684"/>
        <item x="605"/>
        <item x="307"/>
        <item x="144"/>
        <item x="595"/>
        <item x="20"/>
        <item x="308"/>
        <item x="639"/>
        <item x="677"/>
        <item x="482"/>
        <item x="388"/>
        <item x="178"/>
        <item x="250"/>
        <item x="656"/>
        <item x="664"/>
        <item x="617"/>
        <item x="40"/>
        <item x="238"/>
        <item x="473"/>
        <item x="653"/>
        <item x="688"/>
        <item x="356"/>
        <item x="663"/>
        <item x="159"/>
        <item x="575"/>
        <item x="90"/>
        <item x="200"/>
        <item x="187"/>
      </items>
    </pivotField>
    <pivotField dataField="1" showAll="0" defaultSubtotal="0">
      <items count="237">
        <item x="235"/>
        <item x="229"/>
        <item x="228"/>
        <item x="222"/>
        <item x="230"/>
        <item x="225"/>
        <item x="65"/>
        <item x="210"/>
        <item x="209"/>
        <item x="107"/>
        <item x="72"/>
        <item x="47"/>
        <item x="57"/>
        <item x="227"/>
        <item x="48"/>
        <item x="205"/>
        <item x="109"/>
        <item x="53"/>
        <item x="63"/>
        <item x="49"/>
        <item x="54"/>
        <item x="201"/>
        <item x="40"/>
        <item x="55"/>
        <item x="56"/>
        <item x="81"/>
        <item x="73"/>
        <item x="223"/>
        <item x="51"/>
        <item x="52"/>
        <item x="108"/>
        <item x="104"/>
        <item x="41"/>
        <item x="207"/>
        <item x="95"/>
        <item x="60"/>
        <item x="145"/>
        <item x="101"/>
        <item x="117"/>
        <item x="234"/>
        <item x="198"/>
        <item x="98"/>
        <item x="71"/>
        <item x="200"/>
        <item x="50"/>
        <item x="69"/>
        <item x="68"/>
        <item x="226"/>
        <item x="64"/>
        <item x="105"/>
        <item x="66"/>
        <item x="118"/>
        <item x="121"/>
        <item x="97"/>
        <item x="62"/>
        <item x="70"/>
        <item x="59"/>
        <item x="116"/>
        <item x="43"/>
        <item x="103"/>
        <item x="99"/>
        <item x="220"/>
        <item x="67"/>
        <item x="231"/>
        <item x="46"/>
        <item x="175"/>
        <item x="102"/>
        <item x="106"/>
        <item x="150"/>
        <item x="208"/>
        <item x="58"/>
        <item x="216"/>
        <item x="42"/>
        <item x="202"/>
        <item x="120"/>
        <item x="233"/>
        <item x="91"/>
        <item x="217"/>
        <item x="193"/>
        <item x="44"/>
        <item x="87"/>
        <item x="236"/>
        <item x="90"/>
        <item x="151"/>
        <item x="100"/>
        <item x="221"/>
        <item x="110"/>
        <item x="61"/>
        <item x="89"/>
        <item x="192"/>
        <item x="232"/>
        <item x="88"/>
        <item x="119"/>
        <item x="170"/>
        <item x="78"/>
        <item x="86"/>
        <item x="204"/>
        <item x="149"/>
        <item x="191"/>
        <item x="85"/>
        <item x="45"/>
        <item x="211"/>
        <item x="219"/>
        <item x="197"/>
        <item x="190"/>
        <item x="186"/>
        <item x="84"/>
        <item x="148"/>
        <item x="199"/>
        <item x="143"/>
        <item x="28"/>
        <item x="178"/>
        <item x="147"/>
        <item x="96"/>
        <item x="146"/>
        <item x="76"/>
        <item x="74"/>
        <item x="80"/>
        <item x="183"/>
        <item x="196"/>
        <item x="184"/>
        <item x="215"/>
        <item x="218"/>
        <item x="156"/>
        <item x="203"/>
        <item x="83"/>
        <item x="182"/>
        <item x="92"/>
        <item x="82"/>
        <item x="181"/>
        <item x="114"/>
        <item x="195"/>
        <item x="224"/>
        <item x="187"/>
        <item x="113"/>
        <item x="160"/>
        <item x="189"/>
        <item x="180"/>
        <item x="29"/>
        <item x="38"/>
        <item x="94"/>
        <item x="188"/>
        <item x="167"/>
        <item x="177"/>
        <item x="194"/>
        <item x="144"/>
        <item x="115"/>
        <item x="168"/>
        <item x="169"/>
        <item x="79"/>
        <item x="130"/>
        <item x="32"/>
        <item x="77"/>
        <item x="212"/>
        <item x="179"/>
        <item x="93"/>
        <item x="166"/>
        <item x="165"/>
        <item x="159"/>
        <item x="39"/>
        <item x="33"/>
        <item x="164"/>
        <item x="111"/>
        <item x="206"/>
        <item x="30"/>
        <item x="163"/>
        <item x="213"/>
        <item x="176"/>
        <item x="155"/>
        <item x="112"/>
        <item x="20"/>
        <item x="152"/>
        <item x="36"/>
        <item x="140"/>
        <item x="31"/>
        <item x="162"/>
        <item x="214"/>
        <item x="161"/>
        <item x="37"/>
        <item x="35"/>
        <item x="171"/>
        <item x="174"/>
        <item x="75"/>
        <item x="142"/>
        <item x="25"/>
        <item x="34"/>
        <item x="158"/>
        <item x="21"/>
        <item x="172"/>
        <item x="157"/>
        <item x="185"/>
        <item x="129"/>
        <item x="128"/>
        <item x="9"/>
        <item x="141"/>
        <item x="27"/>
        <item x="153"/>
        <item x="173"/>
        <item x="154"/>
        <item x="139"/>
        <item x="23"/>
        <item x="26"/>
        <item x="135"/>
        <item x="138"/>
        <item x="133"/>
        <item x="124"/>
        <item x="122"/>
        <item x="137"/>
        <item x="136"/>
        <item x="134"/>
        <item x="10"/>
        <item x="22"/>
        <item x="131"/>
        <item x="125"/>
        <item x="24"/>
        <item x="132"/>
        <item x="126"/>
        <item x="11"/>
        <item x="127"/>
        <item x="19"/>
        <item x="13"/>
        <item x="5"/>
        <item x="18"/>
        <item x="17"/>
        <item x="0"/>
        <item x="15"/>
        <item x="12"/>
        <item x="7"/>
        <item x="16"/>
        <item x="1"/>
        <item x="14"/>
        <item x="123"/>
        <item x="6"/>
        <item x="8"/>
        <item x="3"/>
        <item x="4"/>
        <item x="2"/>
      </items>
    </pivotField>
    <pivotField dataField="1" showAll="0" defaultSubtotal="0">
      <items count="609">
        <item x="439"/>
        <item x="473"/>
        <item x="320"/>
        <item x="333"/>
        <item x="370"/>
        <item x="499"/>
        <item x="460"/>
        <item x="313"/>
        <item x="345"/>
        <item x="450"/>
        <item x="359"/>
        <item x="285"/>
        <item x="528"/>
        <item x="490"/>
        <item x="485"/>
        <item x="187"/>
        <item x="472"/>
        <item x="375"/>
        <item x="346"/>
        <item x="504"/>
        <item x="398"/>
        <item x="405"/>
        <item x="259"/>
        <item x="383"/>
        <item x="60"/>
        <item x="465"/>
        <item x="516"/>
        <item x="596"/>
        <item x="252"/>
        <item x="483"/>
        <item x="85"/>
        <item x="369"/>
        <item x="270"/>
        <item x="510"/>
        <item x="394"/>
        <item x="237"/>
        <item x="291"/>
        <item x="278"/>
        <item x="70"/>
        <item x="110"/>
        <item x="525"/>
        <item x="389"/>
        <item x="409"/>
        <item x="148"/>
        <item x="329"/>
        <item x="8"/>
        <item x="591"/>
        <item x="463"/>
        <item x="365"/>
        <item x="417"/>
        <item x="25"/>
        <item x="43"/>
        <item x="457"/>
        <item x="322"/>
        <item x="195"/>
        <item x="103"/>
        <item x="244"/>
        <item x="353"/>
        <item x="207"/>
        <item x="222"/>
        <item x="344"/>
        <item x="476"/>
        <item x="119"/>
        <item x="588"/>
        <item x="484"/>
        <item x="497"/>
        <item x="318"/>
        <item x="188"/>
        <item x="158"/>
        <item x="52"/>
        <item x="357"/>
        <item x="444"/>
        <item x="284"/>
        <item x="301"/>
        <item x="44"/>
        <item x="126"/>
        <item x="521"/>
        <item x="213"/>
        <item x="265"/>
        <item x="210"/>
        <item x="238"/>
        <item x="597"/>
        <item x="330"/>
        <item x="258"/>
        <item x="135"/>
        <item x="568"/>
        <item x="74"/>
        <item x="294"/>
        <item x="366"/>
        <item x="410"/>
        <item x="111"/>
        <item x="248"/>
        <item x="508"/>
        <item x="342"/>
        <item x="247"/>
        <item x="114"/>
        <item x="48"/>
        <item x="26"/>
        <item x="34"/>
        <item x="267"/>
        <item x="423"/>
        <item x="89"/>
        <item x="99"/>
        <item x="594"/>
        <item x="513"/>
        <item x="9"/>
        <item x="92"/>
        <item x="400"/>
        <item x="274"/>
        <item x="139"/>
        <item x="304"/>
        <item x="438"/>
        <item x="314"/>
        <item x="526"/>
        <item x="45"/>
        <item x="397"/>
        <item x="107"/>
        <item x="493"/>
        <item x="498"/>
        <item x="272"/>
        <item x="117"/>
        <item x="227"/>
        <item x="49"/>
        <item x="332"/>
        <item x="559"/>
        <item x="58"/>
        <item x="165"/>
        <item x="137"/>
        <item x="324"/>
        <item x="199"/>
        <item x="10"/>
        <item x="140"/>
        <item x="535"/>
        <item x="147"/>
        <item x="363"/>
        <item x="104"/>
        <item x="29"/>
        <item x="205"/>
        <item x="77"/>
        <item x="239"/>
        <item x="36"/>
        <item x="380"/>
        <item x="286"/>
        <item x="62"/>
        <item x="122"/>
        <item x="214"/>
        <item x="260"/>
        <item x="133"/>
        <item x="50"/>
        <item x="266"/>
        <item x="302"/>
        <item x="418"/>
        <item x="479"/>
        <item x="219"/>
        <item x="308"/>
        <item x="354"/>
        <item x="35"/>
        <item x="171"/>
        <item x="30"/>
        <item x="452"/>
        <item x="200"/>
        <item x="280"/>
        <item x="181"/>
        <item x="217"/>
        <item x="51"/>
        <item x="164"/>
        <item x="159"/>
        <item x="221"/>
        <item x="401"/>
        <item x="112"/>
        <item x="91"/>
        <item x="27"/>
        <item x="17"/>
        <item x="456"/>
        <item x="94"/>
        <item x="73"/>
        <item x="295"/>
        <item x="136"/>
        <item x="382"/>
        <item x="125"/>
        <item x="134"/>
        <item x="63"/>
        <item x="168"/>
        <item x="356"/>
        <item x="305"/>
        <item x="406"/>
        <item x="102"/>
        <item x="18"/>
        <item x="198"/>
        <item x="47"/>
        <item x="12"/>
        <item x="4"/>
        <item x="123"/>
        <item x="527"/>
        <item x="16"/>
        <item x="28"/>
        <item x="194"/>
        <item x="15"/>
        <item x="0"/>
        <item x="93"/>
        <item x="367"/>
        <item x="226"/>
        <item x="33"/>
        <item x="66"/>
        <item x="186"/>
        <item x="236"/>
        <item x="173"/>
        <item x="319"/>
        <item x="334"/>
        <item x="14"/>
        <item x="82"/>
        <item x="350"/>
        <item x="11"/>
        <item x="32"/>
        <item x="109"/>
        <item x="415"/>
        <item x="307"/>
        <item x="157"/>
        <item x="6"/>
        <item x="105"/>
        <item x="505"/>
        <item x="461"/>
        <item x="537"/>
        <item x="197"/>
        <item x="212"/>
        <item x="323"/>
        <item x="37"/>
        <item x="390"/>
        <item x="283"/>
        <item x="224"/>
        <item x="261"/>
        <item x="124"/>
        <item x="331"/>
        <item x="64"/>
        <item x="172"/>
        <item x="90"/>
        <item x="339"/>
        <item x="371"/>
        <item x="455"/>
        <item x="22"/>
        <item x="234"/>
        <item x="115"/>
        <item x="31"/>
        <item x="153"/>
        <item x="156"/>
        <item x="108"/>
        <item x="311"/>
        <item x="225"/>
        <item x="293"/>
        <item x="425"/>
        <item x="269"/>
        <item x="445"/>
        <item x="1"/>
        <item x="151"/>
        <item x="127"/>
        <item x="185"/>
        <item x="170"/>
        <item x="184"/>
        <item x="180"/>
        <item x="88"/>
        <item x="253"/>
        <item x="211"/>
        <item x="545"/>
        <item x="143"/>
        <item x="399"/>
        <item x="121"/>
        <item x="141"/>
        <item x="360"/>
        <item x="271"/>
        <item x="436"/>
        <item x="328"/>
        <item x="514"/>
        <item x="138"/>
        <item x="466"/>
        <item x="273"/>
        <item x="589"/>
        <item x="155"/>
        <item x="13"/>
        <item x="561"/>
        <item x="608"/>
        <item x="154"/>
        <item x="343"/>
        <item x="55"/>
        <item x="303"/>
        <item x="467"/>
        <item x="80"/>
        <item x="202"/>
        <item x="488"/>
        <item x="95"/>
        <item x="76"/>
        <item x="558"/>
        <item x="292"/>
        <item x="78"/>
        <item x="503"/>
        <item x="169"/>
        <item x="509"/>
        <item x="441"/>
        <item x="515"/>
        <item x="161"/>
        <item x="177"/>
        <item x="312"/>
        <item x="408"/>
        <item x="533"/>
        <item x="174"/>
        <item x="120"/>
        <item x="152"/>
        <item x="84"/>
        <item x="167"/>
        <item x="281"/>
        <item x="240"/>
        <item x="183"/>
        <item x="223"/>
        <item x="182"/>
        <item x="46"/>
        <item x="166"/>
        <item x="282"/>
        <item x="422"/>
        <item x="149"/>
        <item x="106"/>
        <item x="75"/>
        <item x="368"/>
        <item x="402"/>
        <item x="191"/>
        <item x="209"/>
        <item x="254"/>
        <item x="228"/>
        <item x="162"/>
        <item x="144"/>
        <item x="567"/>
        <item x="534"/>
        <item x="421"/>
        <item x="437"/>
        <item x="268"/>
        <item x="321"/>
        <item x="384"/>
        <item x="245"/>
        <item x="524"/>
        <item x="87"/>
        <item x="235"/>
        <item x="377"/>
        <item x="432"/>
        <item x="605"/>
        <item x="215"/>
        <item x="556"/>
        <item x="448"/>
        <item x="420"/>
        <item x="300"/>
        <item x="279"/>
        <item x="86"/>
        <item x="255"/>
        <item x="552"/>
        <item x="381"/>
        <item x="502"/>
        <item x="325"/>
        <item x="5"/>
        <item x="289"/>
        <item x="532"/>
        <item x="233"/>
        <item x="150"/>
        <item x="196"/>
        <item x="593"/>
        <item x="145"/>
        <item x="290"/>
        <item x="435"/>
        <item x="482"/>
        <item x="179"/>
        <item x="257"/>
        <item x="351"/>
        <item x="579"/>
        <item x="250"/>
        <item x="592"/>
        <item x="59"/>
        <item x="71"/>
        <item x="429"/>
        <item x="7"/>
        <item x="489"/>
        <item x="352"/>
        <item x="178"/>
        <item x="61"/>
        <item x="24"/>
        <item x="407"/>
        <item x="231"/>
        <item x="575"/>
        <item x="256"/>
        <item x="585"/>
        <item x="376"/>
        <item x="454"/>
        <item x="39"/>
        <item x="424"/>
        <item x="189"/>
        <item x="416"/>
        <item x="426"/>
        <item x="358"/>
        <item x="193"/>
        <item x="443"/>
        <item x="246"/>
        <item x="598"/>
        <item x="203"/>
        <item x="396"/>
        <item x="542"/>
        <item x="57"/>
        <item x="512"/>
        <item x="146"/>
        <item x="570"/>
        <item x="317"/>
        <item x="208"/>
        <item x="564"/>
        <item x="297"/>
        <item x="464"/>
        <item x="54"/>
        <item x="428"/>
        <item x="101"/>
        <item x="42"/>
        <item x="470"/>
        <item x="3"/>
        <item x="511"/>
        <item x="584"/>
        <item x="72"/>
        <item x="431"/>
        <item x="310"/>
        <item x="206"/>
        <item x="131"/>
        <item x="544"/>
        <item x="599"/>
        <item x="299"/>
        <item x="430"/>
        <item x="347"/>
        <item x="118"/>
        <item x="220"/>
        <item x="573"/>
        <item x="501"/>
        <item x="190"/>
        <item x="412"/>
        <item x="68"/>
        <item x="130"/>
        <item x="243"/>
        <item x="449"/>
        <item x="478"/>
        <item x="20"/>
        <item x="67"/>
        <item x="587"/>
        <item x="388"/>
        <item x="83"/>
        <item x="586"/>
        <item x="23"/>
        <item x="38"/>
        <item x="393"/>
        <item x="462"/>
        <item x="163"/>
        <item x="469"/>
        <item x="81"/>
        <item x="395"/>
        <item x="341"/>
        <item x="566"/>
        <item x="480"/>
        <item x="262"/>
        <item x="471"/>
        <item x="496"/>
        <item x="539"/>
        <item x="337"/>
        <item x="414"/>
        <item x="543"/>
        <item x="590"/>
        <item x="578"/>
        <item x="232"/>
        <item x="492"/>
        <item x="53"/>
        <item x="326"/>
        <item x="522"/>
        <item x="96"/>
        <item x="40"/>
        <item x="277"/>
        <item x="477"/>
        <item x="100"/>
        <item x="442"/>
        <item x="336"/>
        <item x="327"/>
        <item x="519"/>
        <item x="600"/>
        <item x="551"/>
        <item x="132"/>
        <item x="116"/>
        <item x="547"/>
        <item x="523"/>
        <item x="69"/>
        <item x="386"/>
        <item x="316"/>
        <item x="175"/>
        <item x="494"/>
        <item x="288"/>
        <item x="373"/>
        <item x="576"/>
        <item x="391"/>
        <item x="507"/>
        <item x="340"/>
        <item x="387"/>
        <item x="557"/>
        <item x="263"/>
        <item x="204"/>
        <item x="242"/>
        <item x="481"/>
        <item x="540"/>
        <item x="113"/>
        <item x="338"/>
        <item x="404"/>
        <item x="362"/>
        <item x="413"/>
        <item x="19"/>
        <item x="2"/>
        <item x="65"/>
        <item x="560"/>
        <item x="98"/>
        <item x="306"/>
        <item x="230"/>
        <item x="218"/>
        <item x="249"/>
        <item x="548"/>
        <item x="176"/>
        <item x="21"/>
        <item x="487"/>
        <item x="56"/>
        <item x="372"/>
        <item x="264"/>
        <item x="447"/>
        <item x="530"/>
        <item x="582"/>
        <item x="392"/>
        <item x="374"/>
        <item x="549"/>
        <item x="348"/>
        <item x="411"/>
        <item x="379"/>
        <item x="128"/>
        <item x="41"/>
        <item x="495"/>
        <item x="335"/>
        <item x="275"/>
        <item x="79"/>
        <item x="296"/>
        <item x="531"/>
        <item x="378"/>
        <item x="603"/>
        <item x="506"/>
        <item x="142"/>
        <item x="459"/>
        <item x="251"/>
        <item x="364"/>
        <item x="451"/>
        <item x="385"/>
        <item x="276"/>
        <item x="315"/>
        <item x="419"/>
        <item x="129"/>
        <item x="216"/>
        <item x="468"/>
        <item x="500"/>
        <item x="192"/>
        <item x="349"/>
        <item x="160"/>
        <item x="563"/>
        <item x="486"/>
        <item x="298"/>
        <item x="475"/>
        <item x="97"/>
        <item x="518"/>
        <item x="433"/>
        <item x="491"/>
        <item x="309"/>
        <item x="474"/>
        <item x="241"/>
        <item x="572"/>
        <item x="550"/>
        <item x="287"/>
        <item x="453"/>
        <item x="606"/>
        <item x="201"/>
        <item x="229"/>
        <item x="569"/>
        <item x="553"/>
        <item x="355"/>
        <item x="529"/>
        <item x="427"/>
        <item x="536"/>
        <item x="440"/>
        <item x="403"/>
        <item x="555"/>
        <item x="434"/>
        <item x="546"/>
        <item x="562"/>
        <item x="458"/>
        <item x="601"/>
        <item x="361"/>
        <item x="446"/>
        <item x="602"/>
        <item x="541"/>
        <item x="517"/>
        <item x="538"/>
        <item x="520"/>
        <item x="581"/>
        <item x="604"/>
        <item x="554"/>
        <item x="595"/>
        <item x="583"/>
        <item x="580"/>
        <item x="571"/>
        <item x="574"/>
        <item x="607"/>
        <item x="565"/>
        <item x="577"/>
      </items>
    </pivotField>
    <pivotField dataField="1" showAll="0" defaultSubtotal="0">
      <items count="16">
        <item x="3"/>
        <item x="6"/>
        <item x="0"/>
        <item x="8"/>
        <item x="12"/>
        <item x="13"/>
        <item x="2"/>
        <item x="5"/>
        <item x="1"/>
        <item x="4"/>
        <item x="9"/>
        <item x="14"/>
        <item x="11"/>
        <item x="15"/>
        <item x="10"/>
        <item x="7"/>
      </items>
    </pivotField>
  </pivotFields>
  <rowFields count="3">
    <field x="2"/>
    <field x="6"/>
    <field x="5"/>
  </rowFields>
  <rowItems count="1772">
    <i>
      <x/>
    </i>
    <i r="1">
      <x/>
      <x v="41"/>
    </i>
    <i r="1">
      <x v="1"/>
      <x v="43"/>
    </i>
    <i r="1">
      <x v="2"/>
      <x v="36"/>
    </i>
    <i r="1">
      <x v="3"/>
      <x v="32"/>
    </i>
    <i r="1">
      <x v="4"/>
      <x/>
    </i>
    <i r="1">
      <x v="5"/>
      <x v="30"/>
    </i>
    <i r="1">
      <x v="6"/>
      <x v="1"/>
    </i>
    <i r="1">
      <x v="7"/>
      <x v="38"/>
    </i>
    <i r="1">
      <x v="8"/>
      <x v="2"/>
    </i>
    <i r="1">
      <x v="9"/>
      <x v="47"/>
    </i>
    <i r="1">
      <x v="10"/>
      <x v="46"/>
    </i>
    <i r="1">
      <x v="11"/>
      <x v="31"/>
    </i>
    <i r="1">
      <x v="12"/>
      <x v="29"/>
    </i>
    <i r="1">
      <x v="13"/>
      <x v="39"/>
    </i>
    <i r="1">
      <x v="14"/>
      <x v="27"/>
    </i>
    <i r="1">
      <x v="15"/>
      <x v="35"/>
    </i>
    <i r="1">
      <x v="16"/>
      <x v="28"/>
    </i>
    <i r="1">
      <x v="17"/>
      <x v="26"/>
    </i>
    <i r="1">
      <x v="18"/>
      <x v="48"/>
    </i>
    <i r="1">
      <x v="19"/>
      <x v="52"/>
    </i>
    <i t="blank">
      <x/>
    </i>
    <i>
      <x v="1"/>
    </i>
    <i r="1">
      <x/>
      <x v="41"/>
    </i>
    <i r="1">
      <x v="1"/>
      <x v="43"/>
    </i>
    <i r="1">
      <x v="2"/>
      <x v="36"/>
    </i>
    <i r="1">
      <x v="3"/>
      <x v="32"/>
    </i>
    <i r="1">
      <x v="4"/>
      <x/>
    </i>
    <i r="2">
      <x v="30"/>
    </i>
    <i r="1">
      <x v="6"/>
      <x v="2"/>
    </i>
    <i r="1">
      <x v="7"/>
      <x v="1"/>
    </i>
    <i r="1">
      <x v="8"/>
      <x v="47"/>
    </i>
    <i r="1">
      <x v="9"/>
      <x v="46"/>
    </i>
    <i r="1">
      <x v="10"/>
      <x v="38"/>
    </i>
    <i r="1">
      <x v="11"/>
      <x v="29"/>
    </i>
    <i r="1">
      <x v="12"/>
      <x v="31"/>
    </i>
    <i r="1">
      <x v="13"/>
      <x v="39"/>
    </i>
    <i r="1">
      <x v="14"/>
      <x v="27"/>
    </i>
    <i r="1">
      <x v="15"/>
      <x v="26"/>
    </i>
    <i r="1">
      <x v="16"/>
      <x v="35"/>
    </i>
    <i r="1">
      <x v="17"/>
      <x v="48"/>
    </i>
    <i r="1">
      <x v="18"/>
      <x v="44"/>
    </i>
    <i r="1">
      <x v="19"/>
      <x v="28"/>
    </i>
    <i t="blank">
      <x v="1"/>
    </i>
    <i>
      <x v="2"/>
    </i>
    <i r="1">
      <x/>
      <x v="41"/>
    </i>
    <i r="1">
      <x v="1"/>
      <x v="43"/>
    </i>
    <i r="1">
      <x v="2"/>
      <x v="36"/>
    </i>
    <i r="1">
      <x v="3"/>
      <x v="30"/>
    </i>
    <i r="1">
      <x v="4"/>
      <x v="32"/>
    </i>
    <i r="1">
      <x v="5"/>
      <x/>
    </i>
    <i r="1">
      <x v="6"/>
      <x v="2"/>
    </i>
    <i r="1">
      <x v="7"/>
      <x v="47"/>
    </i>
    <i r="1">
      <x v="8"/>
      <x v="46"/>
    </i>
    <i r="1">
      <x v="9"/>
      <x v="29"/>
    </i>
    <i r="1">
      <x v="10"/>
      <x v="1"/>
    </i>
    <i r="1">
      <x v="11"/>
      <x v="31"/>
    </i>
    <i r="1">
      <x v="12"/>
      <x v="38"/>
    </i>
    <i r="1">
      <x v="13"/>
      <x v="26"/>
    </i>
    <i r="1">
      <x v="14"/>
      <x v="39"/>
    </i>
    <i r="2">
      <x v="42"/>
    </i>
    <i r="1">
      <x v="16"/>
      <x v="24"/>
    </i>
    <i r="1">
      <x v="17"/>
      <x v="27"/>
    </i>
    <i r="2">
      <x v="48"/>
    </i>
    <i r="1">
      <x v="19"/>
      <x v="12"/>
    </i>
    <i r="2">
      <x v="44"/>
    </i>
    <i t="blank">
      <x v="2"/>
    </i>
    <i>
      <x v="3"/>
    </i>
    <i r="1">
      <x/>
      <x v="43"/>
    </i>
    <i r="1">
      <x v="1"/>
      <x v="41"/>
    </i>
    <i r="1">
      <x v="2"/>
      <x v="36"/>
    </i>
    <i r="1">
      <x v="3"/>
      <x v="32"/>
    </i>
    <i r="1">
      <x v="4"/>
      <x v="30"/>
    </i>
    <i r="1">
      <x v="5"/>
      <x/>
    </i>
    <i r="1">
      <x v="6"/>
      <x v="2"/>
    </i>
    <i r="1">
      <x v="7"/>
      <x v="46"/>
    </i>
    <i r="1">
      <x v="8"/>
      <x v="1"/>
    </i>
    <i r="1">
      <x v="9"/>
      <x v="47"/>
    </i>
    <i r="1">
      <x v="10"/>
      <x v="12"/>
    </i>
    <i r="1">
      <x v="11"/>
      <x v="38"/>
    </i>
    <i r="1">
      <x v="12"/>
      <x v="31"/>
    </i>
    <i r="1">
      <x v="13"/>
      <x v="29"/>
    </i>
    <i r="1">
      <x v="14"/>
      <x v="39"/>
    </i>
    <i r="1">
      <x v="15"/>
      <x v="26"/>
    </i>
    <i r="1">
      <x v="16"/>
      <x v="44"/>
    </i>
    <i r="2">
      <x v="48"/>
    </i>
    <i r="1">
      <x v="18"/>
      <x v="28"/>
    </i>
    <i r="1">
      <x v="19"/>
      <x v="35"/>
    </i>
    <i t="blank">
      <x v="3"/>
    </i>
    <i>
      <x v="4"/>
    </i>
    <i r="1">
      <x/>
      <x v="36"/>
    </i>
    <i r="1">
      <x v="1"/>
      <x v="41"/>
    </i>
    <i r="1">
      <x v="2"/>
      <x v="43"/>
    </i>
    <i r="1">
      <x v="3"/>
      <x v="30"/>
    </i>
    <i r="1">
      <x v="4"/>
      <x v="32"/>
    </i>
    <i r="1">
      <x v="5"/>
      <x/>
    </i>
    <i r="1">
      <x v="6"/>
      <x v="2"/>
    </i>
    <i r="1">
      <x v="7"/>
      <x v="47"/>
    </i>
    <i r="1">
      <x v="8"/>
      <x v="1"/>
    </i>
    <i r="1">
      <x v="9"/>
      <x v="26"/>
    </i>
    <i r="1">
      <x v="10"/>
      <x v="29"/>
    </i>
    <i r="2">
      <x v="46"/>
    </i>
    <i r="1">
      <x v="12"/>
      <x v="27"/>
    </i>
    <i r="1">
      <x v="13"/>
      <x v="38"/>
    </i>
    <i r="1">
      <x v="14"/>
      <x v="48"/>
    </i>
    <i r="1">
      <x v="15"/>
      <x v="31"/>
    </i>
    <i r="1">
      <x v="16"/>
      <x v="35"/>
    </i>
    <i r="1">
      <x v="17"/>
      <x v="39"/>
    </i>
    <i r="1">
      <x v="18"/>
      <x v="42"/>
    </i>
    <i r="1">
      <x v="19"/>
      <x v="52"/>
    </i>
    <i t="blank">
      <x v="4"/>
    </i>
    <i>
      <x v="5"/>
    </i>
    <i r="1">
      <x/>
      <x v="41"/>
    </i>
    <i r="1">
      <x v="1"/>
      <x v="36"/>
    </i>
    <i r="1">
      <x v="2"/>
      <x v="43"/>
    </i>
    <i r="1">
      <x v="3"/>
      <x v="32"/>
    </i>
    <i r="1">
      <x v="4"/>
      <x v="30"/>
    </i>
    <i r="1">
      <x v="5"/>
      <x v="38"/>
    </i>
    <i r="1">
      <x v="6"/>
      <x/>
    </i>
    <i r="1">
      <x v="7"/>
      <x v="29"/>
    </i>
    <i r="1">
      <x v="8"/>
      <x v="47"/>
    </i>
    <i r="1">
      <x v="9"/>
      <x v="2"/>
    </i>
    <i r="1">
      <x v="10"/>
      <x v="27"/>
    </i>
    <i r="1">
      <x v="11"/>
      <x v="1"/>
    </i>
    <i r="1">
      <x v="12"/>
      <x v="46"/>
    </i>
    <i r="1">
      <x v="13"/>
      <x v="28"/>
    </i>
    <i r="1">
      <x v="14"/>
      <x v="35"/>
    </i>
    <i r="2">
      <x v="39"/>
    </i>
    <i r="1">
      <x v="16"/>
      <x v="44"/>
    </i>
    <i r="1">
      <x v="17"/>
      <x v="26"/>
    </i>
    <i r="1">
      <x v="18"/>
      <x v="52"/>
    </i>
    <i r="1">
      <x v="19"/>
      <x v="34"/>
    </i>
    <i t="blank">
      <x v="5"/>
    </i>
    <i>
      <x v="6"/>
    </i>
    <i r="1">
      <x/>
      <x v="43"/>
    </i>
    <i r="1">
      <x v="1"/>
      <x v="36"/>
    </i>
    <i r="1">
      <x v="2"/>
      <x/>
    </i>
    <i r="1">
      <x v="3"/>
      <x v="2"/>
    </i>
    <i r="1">
      <x v="4"/>
      <x v="41"/>
    </i>
    <i r="1">
      <x v="5"/>
      <x v="1"/>
    </i>
    <i r="1">
      <x v="6"/>
      <x v="32"/>
    </i>
    <i r="1">
      <x v="7"/>
      <x v="30"/>
    </i>
    <i r="1">
      <x v="8"/>
      <x v="47"/>
    </i>
    <i r="1">
      <x v="9"/>
      <x v="46"/>
    </i>
    <i r="1">
      <x v="10"/>
      <x v="31"/>
    </i>
    <i r="1">
      <x v="11"/>
      <x v="27"/>
    </i>
    <i r="1">
      <x v="12"/>
      <x v="38"/>
    </i>
    <i r="1">
      <x v="13"/>
      <x v="48"/>
    </i>
    <i r="1">
      <x v="14"/>
      <x v="35"/>
    </i>
    <i r="1">
      <x v="15"/>
      <x v="39"/>
    </i>
    <i r="1">
      <x v="16"/>
      <x v="29"/>
    </i>
    <i r="1">
      <x v="17"/>
      <x v="50"/>
    </i>
    <i r="1">
      <x v="18"/>
      <x v="44"/>
    </i>
    <i r="1">
      <x v="19"/>
      <x v="26"/>
    </i>
    <i t="blank">
      <x v="6"/>
    </i>
    <i>
      <x v="7"/>
    </i>
    <i r="1">
      <x/>
      <x v="36"/>
    </i>
    <i r="1">
      <x v="1"/>
      <x v="41"/>
    </i>
    <i r="1">
      <x v="2"/>
      <x v="43"/>
    </i>
    <i r="1">
      <x v="3"/>
      <x v="30"/>
    </i>
    <i r="1">
      <x v="4"/>
      <x v="32"/>
    </i>
    <i r="1">
      <x v="5"/>
      <x/>
    </i>
    <i r="1">
      <x v="6"/>
      <x v="2"/>
    </i>
    <i r="1">
      <x v="7"/>
      <x v="47"/>
    </i>
    <i r="1">
      <x v="8"/>
      <x v="1"/>
    </i>
    <i r="1">
      <x v="9"/>
      <x v="46"/>
    </i>
    <i r="1">
      <x v="10"/>
      <x v="29"/>
    </i>
    <i r="1">
      <x v="11"/>
      <x v="38"/>
    </i>
    <i r="1">
      <x v="12"/>
      <x v="31"/>
    </i>
    <i r="2">
      <x v="39"/>
    </i>
    <i r="1">
      <x v="14"/>
      <x v="48"/>
    </i>
    <i r="1">
      <x v="15"/>
      <x v="52"/>
    </i>
    <i r="1">
      <x v="16"/>
      <x v="35"/>
    </i>
    <i r="2">
      <x v="44"/>
    </i>
    <i r="1">
      <x v="18"/>
      <x v="26"/>
    </i>
    <i r="1">
      <x v="19"/>
      <x v="42"/>
    </i>
    <i t="blank">
      <x v="7"/>
    </i>
    <i>
      <x v="8"/>
    </i>
    <i r="1">
      <x/>
      <x v="41"/>
    </i>
    <i r="1">
      <x v="1"/>
      <x v="43"/>
    </i>
    <i r="1">
      <x v="2"/>
      <x v="36"/>
    </i>
    <i r="1">
      <x v="3"/>
      <x/>
    </i>
    <i r="1">
      <x v="4"/>
      <x v="32"/>
    </i>
    <i r="1">
      <x v="5"/>
      <x v="30"/>
    </i>
    <i r="1">
      <x v="6"/>
      <x v="1"/>
    </i>
    <i r="1">
      <x v="7"/>
      <x v="2"/>
    </i>
    <i r="1">
      <x v="8"/>
      <x v="47"/>
    </i>
    <i r="1">
      <x v="9"/>
      <x v="31"/>
    </i>
    <i r="1">
      <x v="10"/>
      <x v="38"/>
    </i>
    <i r="1">
      <x v="11"/>
      <x v="46"/>
    </i>
    <i r="1">
      <x v="12"/>
      <x v="39"/>
    </i>
    <i r="1">
      <x v="13"/>
      <x v="29"/>
    </i>
    <i r="1">
      <x v="14"/>
      <x v="48"/>
    </i>
    <i r="1">
      <x v="15"/>
      <x v="35"/>
    </i>
    <i r="1">
      <x v="16"/>
      <x v="44"/>
    </i>
    <i r="1">
      <x v="17"/>
      <x v="50"/>
    </i>
    <i r="1">
      <x v="18"/>
      <x v="26"/>
    </i>
    <i r="1">
      <x v="19"/>
      <x v="28"/>
    </i>
    <i t="blank">
      <x v="8"/>
    </i>
    <i>
      <x v="9"/>
    </i>
    <i r="1">
      <x/>
      <x v="41"/>
    </i>
    <i r="1">
      <x v="1"/>
      <x v="36"/>
    </i>
    <i r="1">
      <x v="2"/>
      <x v="43"/>
    </i>
    <i r="1">
      <x v="3"/>
      <x v="38"/>
    </i>
    <i r="1">
      <x v="4"/>
      <x v="32"/>
    </i>
    <i r="1">
      <x v="5"/>
      <x/>
    </i>
    <i r="1">
      <x v="6"/>
      <x v="30"/>
    </i>
    <i r="1">
      <x v="7"/>
      <x v="46"/>
    </i>
    <i r="1">
      <x v="8"/>
      <x v="47"/>
    </i>
    <i r="1">
      <x v="9"/>
      <x v="1"/>
    </i>
    <i r="1">
      <x v="10"/>
      <x v="27"/>
    </i>
    <i r="1">
      <x v="11"/>
      <x v="29"/>
    </i>
    <i r="1">
      <x v="12"/>
      <x v="2"/>
    </i>
    <i r="1">
      <x v="13"/>
      <x v="39"/>
    </i>
    <i r="1">
      <x v="14"/>
      <x v="35"/>
    </i>
    <i r="1">
      <x v="15"/>
      <x v="28"/>
    </i>
    <i r="1">
      <x v="16"/>
      <x v="52"/>
    </i>
    <i r="1">
      <x v="17"/>
      <x v="26"/>
    </i>
    <i r="1">
      <x v="18"/>
      <x v="31"/>
    </i>
    <i r="1">
      <x v="19"/>
      <x v="25"/>
    </i>
    <i t="blank">
      <x v="9"/>
    </i>
    <i>
      <x v="10"/>
    </i>
    <i r="1">
      <x/>
      <x v="36"/>
    </i>
    <i r="1">
      <x v="1"/>
      <x v="43"/>
    </i>
    <i r="1">
      <x v="2"/>
      <x v="41"/>
    </i>
    <i r="1">
      <x v="3"/>
      <x v="32"/>
    </i>
    <i r="1">
      <x v="4"/>
      <x/>
    </i>
    <i r="1">
      <x v="5"/>
      <x v="30"/>
    </i>
    <i r="1">
      <x v="6"/>
      <x v="47"/>
    </i>
    <i r="1">
      <x v="7"/>
      <x v="46"/>
    </i>
    <i r="1">
      <x v="8"/>
      <x v="1"/>
    </i>
    <i r="1">
      <x v="9"/>
      <x v="2"/>
    </i>
    <i r="1">
      <x v="10"/>
      <x v="27"/>
    </i>
    <i r="1">
      <x v="11"/>
      <x v="38"/>
    </i>
    <i r="1">
      <x v="12"/>
      <x v="25"/>
    </i>
    <i r="1">
      <x v="13"/>
      <x v="31"/>
    </i>
    <i r="1">
      <x v="14"/>
      <x v="28"/>
    </i>
    <i r="2">
      <x v="29"/>
    </i>
    <i r="1">
      <x v="16"/>
      <x v="35"/>
    </i>
    <i r="1">
      <x v="17"/>
      <x v="26"/>
    </i>
    <i r="1">
      <x v="18"/>
      <x v="52"/>
    </i>
    <i r="1">
      <x v="19"/>
      <x v="48"/>
    </i>
    <i t="blank">
      <x v="10"/>
    </i>
    <i>
      <x v="11"/>
    </i>
    <i r="1">
      <x/>
      <x v="41"/>
    </i>
    <i r="1">
      <x v="1"/>
      <x v="36"/>
    </i>
    <i r="1">
      <x v="2"/>
      <x v="27"/>
    </i>
    <i r="1">
      <x v="3"/>
      <x v="38"/>
    </i>
    <i r="1">
      <x v="4"/>
      <x v="43"/>
    </i>
    <i r="1">
      <x v="5"/>
      <x v="28"/>
    </i>
    <i r="1">
      <x v="6"/>
      <x v="26"/>
    </i>
    <i r="1">
      <x v="7"/>
      <x v="32"/>
    </i>
    <i r="1">
      <x v="8"/>
      <x v="30"/>
    </i>
    <i r="1">
      <x v="9"/>
      <x v="2"/>
    </i>
    <i r="1">
      <x v="10"/>
      <x/>
    </i>
    <i r="1">
      <x v="11"/>
      <x v="52"/>
    </i>
    <i r="1">
      <x v="12"/>
      <x v="39"/>
    </i>
    <i r="1">
      <x v="13"/>
      <x v="1"/>
    </i>
    <i r="1">
      <x v="14"/>
      <x v="20"/>
    </i>
    <i r="1">
      <x v="15"/>
      <x v="29"/>
    </i>
    <i r="1">
      <x v="16"/>
      <x v="35"/>
    </i>
    <i r="1">
      <x v="17"/>
      <x v="25"/>
    </i>
    <i r="1">
      <x v="18"/>
      <x v="47"/>
    </i>
    <i r="1">
      <x v="19"/>
      <x v="46"/>
    </i>
    <i t="blank">
      <x v="11"/>
    </i>
    <i>
      <x v="12"/>
    </i>
    <i r="1">
      <x/>
      <x v="41"/>
    </i>
    <i r="1">
      <x v="1"/>
      <x v="38"/>
    </i>
    <i r="1">
      <x v="2"/>
      <x v="43"/>
    </i>
    <i r="1">
      <x v="3"/>
      <x v="36"/>
    </i>
    <i r="1">
      <x v="4"/>
      <x v="32"/>
    </i>
    <i r="1">
      <x v="5"/>
      <x v="29"/>
    </i>
    <i r="1">
      <x v="6"/>
      <x v="46"/>
    </i>
    <i r="1">
      <x v="7"/>
      <x v="47"/>
    </i>
    <i r="1">
      <x v="8"/>
      <x v="35"/>
    </i>
    <i r="1">
      <x v="9"/>
      <x v="39"/>
    </i>
    <i r="1">
      <x v="10"/>
      <x v="30"/>
    </i>
    <i r="1">
      <x v="11"/>
      <x v="52"/>
    </i>
    <i r="1">
      <x v="12"/>
      <x v="28"/>
    </i>
    <i r="1">
      <x v="13"/>
      <x/>
    </i>
    <i r="1">
      <x v="14"/>
      <x v="27"/>
    </i>
    <i r="2">
      <x v="44"/>
    </i>
    <i r="1">
      <x v="16"/>
      <x v="25"/>
    </i>
    <i r="1">
      <x v="17"/>
      <x v="33"/>
    </i>
    <i r="1">
      <x v="18"/>
      <x v="20"/>
    </i>
    <i r="1">
      <x v="19"/>
      <x v="26"/>
    </i>
    <i t="blank">
      <x v="12"/>
    </i>
    <i>
      <x v="13"/>
    </i>
    <i r="1">
      <x/>
      <x v="36"/>
    </i>
    <i r="1">
      <x v="1"/>
      <x v="43"/>
    </i>
    <i r="1">
      <x v="2"/>
      <x v="41"/>
    </i>
    <i r="1">
      <x v="3"/>
      <x v="32"/>
    </i>
    <i r="1">
      <x v="4"/>
      <x/>
    </i>
    <i r="1">
      <x v="5"/>
      <x v="46"/>
    </i>
    <i r="1">
      <x v="6"/>
      <x v="1"/>
    </i>
    <i r="1">
      <x v="7"/>
      <x v="47"/>
    </i>
    <i r="1">
      <x v="8"/>
      <x v="2"/>
    </i>
    <i r="1">
      <x v="9"/>
      <x v="30"/>
    </i>
    <i r="1">
      <x v="10"/>
      <x v="39"/>
    </i>
    <i r="1">
      <x v="11"/>
      <x v="38"/>
    </i>
    <i r="1">
      <x v="12"/>
      <x v="35"/>
    </i>
    <i r="1">
      <x v="13"/>
      <x v="31"/>
    </i>
    <i r="1">
      <x v="14"/>
      <x v="27"/>
    </i>
    <i r="1">
      <x v="15"/>
      <x v="28"/>
    </i>
    <i r="1">
      <x v="16"/>
      <x v="48"/>
    </i>
    <i r="1">
      <x v="17"/>
      <x v="29"/>
    </i>
    <i r="1">
      <x v="18"/>
      <x v="52"/>
    </i>
    <i r="1">
      <x v="19"/>
      <x v="44"/>
    </i>
    <i t="blank">
      <x v="13"/>
    </i>
    <i>
      <x v="14"/>
    </i>
    <i r="1">
      <x/>
      <x v="43"/>
    </i>
    <i r="1">
      <x v="1"/>
      <x/>
    </i>
    <i r="1">
      <x v="2"/>
      <x v="41"/>
    </i>
    <i r="1">
      <x v="3"/>
      <x v="36"/>
    </i>
    <i r="1">
      <x v="4"/>
      <x v="1"/>
    </i>
    <i r="1">
      <x v="5"/>
      <x v="32"/>
    </i>
    <i r="1">
      <x v="6"/>
      <x v="46"/>
    </i>
    <i r="1">
      <x v="7"/>
      <x v="2"/>
    </i>
    <i r="1">
      <x v="8"/>
      <x v="30"/>
    </i>
    <i r="1">
      <x v="9"/>
      <x v="47"/>
    </i>
    <i r="1">
      <x v="10"/>
      <x v="29"/>
    </i>
    <i r="1">
      <x v="11"/>
      <x v="38"/>
    </i>
    <i r="1">
      <x v="12"/>
      <x v="31"/>
    </i>
    <i r="1">
      <x v="13"/>
      <x v="39"/>
    </i>
    <i r="2">
      <x v="48"/>
    </i>
    <i r="1">
      <x v="15"/>
      <x v="35"/>
    </i>
    <i r="1">
      <x v="16"/>
      <x v="44"/>
    </i>
    <i r="1">
      <x v="17"/>
      <x v="28"/>
    </i>
    <i r="1">
      <x v="18"/>
      <x v="33"/>
    </i>
    <i r="1">
      <x v="19"/>
      <x v="27"/>
    </i>
    <i t="blank">
      <x v="14"/>
    </i>
    <i>
      <x v="15"/>
    </i>
    <i r="1">
      <x/>
      <x v="43"/>
    </i>
    <i r="1">
      <x v="1"/>
      <x v="36"/>
    </i>
    <i r="1">
      <x v="2"/>
      <x v="41"/>
    </i>
    <i r="1">
      <x v="3"/>
      <x/>
    </i>
    <i r="1">
      <x v="4"/>
      <x v="32"/>
    </i>
    <i r="1">
      <x v="5"/>
      <x v="1"/>
    </i>
    <i r="2">
      <x v="30"/>
    </i>
    <i r="1">
      <x v="7"/>
      <x v="46"/>
    </i>
    <i r="1">
      <x v="8"/>
      <x v="47"/>
    </i>
    <i r="1">
      <x v="9"/>
      <x v="31"/>
    </i>
    <i r="1">
      <x v="10"/>
      <x v="2"/>
    </i>
    <i r="1">
      <x v="11"/>
      <x v="35"/>
    </i>
    <i r="2">
      <x v="39"/>
    </i>
    <i r="1">
      <x v="13"/>
      <x v="38"/>
    </i>
    <i r="1">
      <x v="14"/>
      <x v="48"/>
    </i>
    <i r="1">
      <x v="15"/>
      <x v="52"/>
    </i>
    <i r="1">
      <x v="16"/>
      <x v="28"/>
    </i>
    <i r="1">
      <x v="17"/>
      <x v="29"/>
    </i>
    <i r="2">
      <x v="44"/>
    </i>
    <i r="1">
      <x v="19"/>
      <x v="45"/>
    </i>
    <i t="blank">
      <x v="15"/>
    </i>
    <i>
      <x v="16"/>
    </i>
    <i r="1">
      <x/>
      <x v="41"/>
    </i>
    <i r="1">
      <x v="1"/>
      <x v="43"/>
    </i>
    <i r="1">
      <x v="2"/>
      <x v="36"/>
    </i>
    <i r="1">
      <x v="3"/>
      <x v="32"/>
    </i>
    <i r="1">
      <x v="4"/>
      <x/>
    </i>
    <i r="1">
      <x v="5"/>
      <x v="1"/>
    </i>
    <i r="1">
      <x v="6"/>
      <x v="46"/>
    </i>
    <i r="1">
      <x v="7"/>
      <x v="47"/>
    </i>
    <i r="1">
      <x v="8"/>
      <x v="38"/>
    </i>
    <i r="1">
      <x v="9"/>
      <x v="2"/>
    </i>
    <i r="1">
      <x v="10"/>
      <x v="30"/>
    </i>
    <i r="1">
      <x v="11"/>
      <x v="31"/>
    </i>
    <i r="1">
      <x v="12"/>
      <x v="35"/>
    </i>
    <i r="1">
      <x v="13"/>
      <x v="39"/>
    </i>
    <i r="1">
      <x v="14"/>
      <x v="48"/>
    </i>
    <i r="1">
      <x v="15"/>
      <x v="29"/>
    </i>
    <i r="1">
      <x v="16"/>
      <x v="52"/>
    </i>
    <i r="1">
      <x v="17"/>
      <x v="44"/>
    </i>
    <i r="1">
      <x v="18"/>
      <x v="33"/>
    </i>
    <i r="1">
      <x v="19"/>
      <x v="28"/>
    </i>
    <i t="blank">
      <x v="16"/>
    </i>
    <i>
      <x v="17"/>
    </i>
    <i r="1">
      <x/>
      <x v="41"/>
    </i>
    <i r="1">
      <x v="1"/>
      <x v="43"/>
    </i>
    <i r="1">
      <x v="2"/>
      <x v="32"/>
    </i>
    <i r="1">
      <x v="3"/>
      <x v="30"/>
    </i>
    <i r="1">
      <x v="4"/>
      <x/>
    </i>
    <i r="1">
      <x v="5"/>
      <x v="36"/>
    </i>
    <i r="1">
      <x v="6"/>
      <x v="47"/>
    </i>
    <i r="1">
      <x v="7"/>
      <x v="31"/>
    </i>
    <i r="1">
      <x v="8"/>
      <x v="1"/>
    </i>
    <i r="1">
      <x v="9"/>
      <x v="46"/>
    </i>
    <i r="1">
      <x v="10"/>
      <x v="29"/>
    </i>
    <i r="1">
      <x v="11"/>
      <x v="2"/>
    </i>
    <i r="1">
      <x v="12"/>
      <x v="48"/>
    </i>
    <i r="1">
      <x v="13"/>
      <x v="38"/>
    </i>
    <i r="1">
      <x v="14"/>
      <x v="39"/>
    </i>
    <i r="2">
      <x v="50"/>
    </i>
    <i r="1">
      <x v="16"/>
      <x v="44"/>
    </i>
    <i r="1">
      <x v="17"/>
      <x v="35"/>
    </i>
    <i r="1">
      <x v="18"/>
      <x v="26"/>
    </i>
    <i r="1">
      <x v="19"/>
      <x v="42"/>
    </i>
    <i t="blank">
      <x v="17"/>
    </i>
    <i>
      <x v="18"/>
    </i>
    <i r="1">
      <x/>
      <x v="41"/>
    </i>
    <i r="1">
      <x v="1"/>
      <x v="43"/>
    </i>
    <i r="1">
      <x v="2"/>
      <x v="32"/>
    </i>
    <i r="1">
      <x v="3"/>
      <x v="36"/>
    </i>
    <i r="1">
      <x v="4"/>
      <x/>
    </i>
    <i r="1">
      <x v="5"/>
      <x v="30"/>
    </i>
    <i r="1">
      <x v="6"/>
      <x v="1"/>
    </i>
    <i r="1">
      <x v="7"/>
      <x v="47"/>
    </i>
    <i r="1">
      <x v="8"/>
      <x v="38"/>
    </i>
    <i r="1">
      <x v="9"/>
      <x v="31"/>
    </i>
    <i r="1">
      <x v="10"/>
      <x v="46"/>
    </i>
    <i r="1">
      <x v="11"/>
      <x v="2"/>
    </i>
    <i r="1">
      <x v="12"/>
      <x v="29"/>
    </i>
    <i r="1">
      <x v="13"/>
      <x v="28"/>
    </i>
    <i r="1">
      <x v="14"/>
      <x v="50"/>
    </i>
    <i r="1">
      <x v="15"/>
      <x v="27"/>
    </i>
    <i r="1">
      <x v="16"/>
      <x v="39"/>
    </i>
    <i r="1">
      <x v="17"/>
      <x v="48"/>
    </i>
    <i r="1">
      <x v="18"/>
      <x v="35"/>
    </i>
    <i r="1">
      <x v="19"/>
      <x v="26"/>
    </i>
    <i t="blank">
      <x v="18"/>
    </i>
    <i>
      <x v="19"/>
    </i>
    <i r="1">
      <x/>
      <x v="43"/>
    </i>
    <i r="1">
      <x v="1"/>
      <x v="41"/>
    </i>
    <i r="1">
      <x v="2"/>
      <x v="32"/>
    </i>
    <i r="1">
      <x v="3"/>
      <x/>
    </i>
    <i r="1">
      <x v="4"/>
      <x v="30"/>
    </i>
    <i r="1">
      <x v="5"/>
      <x v="36"/>
    </i>
    <i r="1">
      <x v="6"/>
      <x v="47"/>
    </i>
    <i r="1">
      <x v="7"/>
      <x v="29"/>
    </i>
    <i r="1">
      <x v="8"/>
      <x v="31"/>
    </i>
    <i r="1">
      <x v="9"/>
      <x v="1"/>
    </i>
    <i r="1">
      <x v="10"/>
      <x v="2"/>
    </i>
    <i r="1">
      <x v="11"/>
      <x v="14"/>
    </i>
    <i r="1">
      <x v="12"/>
      <x v="38"/>
    </i>
    <i r="1">
      <x v="13"/>
      <x v="12"/>
    </i>
    <i r="1">
      <x v="14"/>
      <x v="46"/>
    </i>
    <i r="1">
      <x v="15"/>
      <x v="26"/>
    </i>
    <i r="1">
      <x v="16"/>
      <x v="48"/>
    </i>
    <i r="1">
      <x v="17"/>
      <x v="13"/>
    </i>
    <i r="2">
      <x v="39"/>
    </i>
    <i r="1">
      <x v="19"/>
      <x v="50"/>
    </i>
    <i t="blank">
      <x v="19"/>
    </i>
    <i>
      <x v="20"/>
    </i>
    <i r="1">
      <x/>
      <x v="43"/>
    </i>
    <i r="1">
      <x v="1"/>
      <x v="41"/>
    </i>
    <i r="1">
      <x v="2"/>
      <x/>
    </i>
    <i r="2">
      <x v="32"/>
    </i>
    <i r="1">
      <x v="4"/>
      <x v="30"/>
    </i>
    <i r="1">
      <x v="5"/>
      <x v="36"/>
    </i>
    <i r="1">
      <x v="6"/>
      <x v="31"/>
    </i>
    <i r="1">
      <x v="7"/>
      <x v="47"/>
    </i>
    <i r="1">
      <x v="8"/>
      <x v="1"/>
    </i>
    <i r="1">
      <x v="9"/>
      <x v="29"/>
    </i>
    <i r="1">
      <x v="10"/>
      <x v="2"/>
    </i>
    <i r="1">
      <x v="11"/>
      <x v="46"/>
    </i>
    <i r="1">
      <x v="12"/>
      <x v="38"/>
    </i>
    <i r="1">
      <x v="13"/>
      <x v="50"/>
    </i>
    <i r="1">
      <x v="14"/>
      <x v="39"/>
    </i>
    <i r="1">
      <x v="15"/>
      <x v="48"/>
    </i>
    <i r="1">
      <x v="16"/>
      <x v="42"/>
    </i>
    <i r="1">
      <x v="17"/>
      <x v="27"/>
    </i>
    <i r="1">
      <x v="18"/>
      <x v="44"/>
    </i>
    <i r="1">
      <x v="19"/>
      <x v="26"/>
    </i>
    <i r="2">
      <x v="35"/>
    </i>
    <i t="blank">
      <x v="20"/>
    </i>
    <i>
      <x v="21"/>
    </i>
    <i r="1">
      <x/>
      <x v="43"/>
    </i>
    <i r="1">
      <x v="1"/>
      <x v="41"/>
    </i>
    <i r="1">
      <x v="2"/>
      <x v="32"/>
    </i>
    <i r="1">
      <x v="3"/>
      <x v="30"/>
    </i>
    <i r="1">
      <x v="4"/>
      <x/>
    </i>
    <i r="1">
      <x v="5"/>
      <x v="31"/>
    </i>
    <i r="1">
      <x v="6"/>
      <x v="47"/>
    </i>
    <i r="1">
      <x v="7"/>
      <x v="36"/>
    </i>
    <i r="1">
      <x v="8"/>
      <x v="29"/>
    </i>
    <i r="1">
      <x v="9"/>
      <x v="48"/>
    </i>
    <i r="1">
      <x v="10"/>
      <x v="46"/>
    </i>
    <i r="1">
      <x v="11"/>
      <x v="1"/>
    </i>
    <i r="1">
      <x v="12"/>
      <x v="50"/>
    </i>
    <i r="1">
      <x v="13"/>
      <x v="38"/>
    </i>
    <i r="1">
      <x v="14"/>
      <x v="2"/>
    </i>
    <i r="2">
      <x v="39"/>
    </i>
    <i r="1">
      <x v="16"/>
      <x v="44"/>
    </i>
    <i r="1">
      <x v="17"/>
      <x v="42"/>
    </i>
    <i r="1">
      <x v="18"/>
      <x v="28"/>
    </i>
    <i r="1">
      <x v="19"/>
      <x v="52"/>
    </i>
    <i t="blank">
      <x v="21"/>
    </i>
    <i>
      <x v="22"/>
    </i>
    <i r="1">
      <x/>
      <x v="43"/>
    </i>
    <i r="1">
      <x v="1"/>
      <x v="32"/>
    </i>
    <i r="1">
      <x v="2"/>
      <x v="30"/>
    </i>
    <i r="1">
      <x v="3"/>
      <x v="41"/>
    </i>
    <i r="1">
      <x v="4"/>
      <x/>
    </i>
    <i r="1">
      <x v="5"/>
      <x v="36"/>
    </i>
    <i r="1">
      <x v="6"/>
      <x v="47"/>
    </i>
    <i r="1">
      <x v="7"/>
      <x v="31"/>
    </i>
    <i r="1">
      <x v="8"/>
      <x v="1"/>
    </i>
    <i r="1">
      <x v="9"/>
      <x v="46"/>
    </i>
    <i r="1">
      <x v="10"/>
      <x v="2"/>
    </i>
    <i r="1">
      <x v="11"/>
      <x v="29"/>
    </i>
    <i r="1">
      <x v="12"/>
      <x v="7"/>
    </i>
    <i r="1">
      <x v="13"/>
      <x v="17"/>
    </i>
    <i r="1">
      <x v="14"/>
      <x v="39"/>
    </i>
    <i r="1">
      <x v="15"/>
      <x v="38"/>
    </i>
    <i r="1">
      <x v="16"/>
      <x v="50"/>
    </i>
    <i r="1">
      <x v="17"/>
      <x v="25"/>
    </i>
    <i r="1">
      <x v="18"/>
      <x v="3"/>
    </i>
    <i r="1">
      <x v="19"/>
      <x v="12"/>
    </i>
    <i r="2">
      <x v="26"/>
    </i>
    <i t="blank">
      <x v="22"/>
    </i>
    <i>
      <x v="23"/>
    </i>
    <i r="1">
      <x/>
      <x v="43"/>
    </i>
    <i r="1">
      <x v="1"/>
      <x v="41"/>
    </i>
    <i r="1">
      <x v="2"/>
      <x/>
    </i>
    <i r="1">
      <x v="3"/>
      <x v="32"/>
    </i>
    <i r="1">
      <x v="4"/>
      <x v="30"/>
    </i>
    <i r="1">
      <x v="5"/>
      <x v="1"/>
    </i>
    <i r="1">
      <x v="6"/>
      <x v="50"/>
    </i>
    <i r="1">
      <x v="7"/>
      <x v="4"/>
    </i>
    <i r="1">
      <x v="8"/>
      <x v="2"/>
    </i>
    <i r="1">
      <x v="9"/>
      <x v="31"/>
    </i>
    <i r="1">
      <x v="10"/>
      <x v="36"/>
    </i>
    <i r="2">
      <x v="47"/>
    </i>
    <i r="1">
      <x v="12"/>
      <x v="29"/>
    </i>
    <i r="1">
      <x v="13"/>
      <x v="3"/>
    </i>
    <i r="1">
      <x v="14"/>
      <x v="46"/>
    </i>
    <i r="1">
      <x v="15"/>
      <x v="17"/>
    </i>
    <i r="2">
      <x v="39"/>
    </i>
    <i r="1">
      <x v="17"/>
      <x v="38"/>
    </i>
    <i r="1">
      <x v="18"/>
      <x v="25"/>
    </i>
    <i r="1">
      <x v="19"/>
      <x v="7"/>
    </i>
    <i t="blank">
      <x v="23"/>
    </i>
    <i>
      <x v="24"/>
    </i>
    <i r="1">
      <x/>
      <x v="43"/>
    </i>
    <i r="1">
      <x v="1"/>
      <x v="41"/>
    </i>
    <i r="1">
      <x v="2"/>
      <x v="32"/>
    </i>
    <i r="1">
      <x v="3"/>
      <x v="30"/>
    </i>
    <i r="1">
      <x v="4"/>
      <x/>
    </i>
    <i r="1">
      <x v="5"/>
      <x v="31"/>
    </i>
    <i r="1">
      <x v="6"/>
      <x v="1"/>
    </i>
    <i r="2">
      <x v="47"/>
    </i>
    <i r="1">
      <x v="8"/>
      <x v="46"/>
    </i>
    <i r="1">
      <x v="9"/>
      <x v="36"/>
    </i>
    <i r="1">
      <x v="10"/>
      <x v="2"/>
    </i>
    <i r="1">
      <x v="11"/>
      <x v="29"/>
    </i>
    <i r="2">
      <x v="39"/>
    </i>
    <i r="1">
      <x v="13"/>
      <x v="35"/>
    </i>
    <i r="1">
      <x v="14"/>
      <x v="38"/>
    </i>
    <i r="1">
      <x v="15"/>
      <x v="50"/>
    </i>
    <i r="1">
      <x v="16"/>
      <x v="5"/>
    </i>
    <i r="1">
      <x v="17"/>
      <x v="28"/>
    </i>
    <i r="1">
      <x v="18"/>
      <x v="3"/>
    </i>
    <i r="2">
      <x v="48"/>
    </i>
    <i t="blank">
      <x v="24"/>
    </i>
    <i>
      <x v="25"/>
    </i>
    <i r="1">
      <x/>
      <x v="7"/>
    </i>
    <i r="1">
      <x v="1"/>
      <x v="41"/>
    </i>
    <i r="1">
      <x v="2"/>
      <x v="32"/>
    </i>
    <i r="1">
      <x v="3"/>
      <x v="43"/>
    </i>
    <i r="1">
      <x v="4"/>
      <x v="6"/>
    </i>
    <i r="1">
      <x v="5"/>
      <x v="36"/>
    </i>
    <i r="1">
      <x v="6"/>
      <x v="30"/>
    </i>
    <i r="1">
      <x v="7"/>
      <x v="28"/>
    </i>
    <i r="1">
      <x v="8"/>
      <x/>
    </i>
    <i r="1">
      <x v="9"/>
      <x v="31"/>
    </i>
    <i r="1">
      <x v="10"/>
      <x v="1"/>
    </i>
    <i r="1">
      <x v="11"/>
      <x v="47"/>
    </i>
    <i r="1">
      <x v="12"/>
      <x v="26"/>
    </i>
    <i r="1">
      <x v="13"/>
      <x v="38"/>
    </i>
    <i r="1">
      <x v="14"/>
      <x v="17"/>
    </i>
    <i r="1">
      <x v="15"/>
      <x v="12"/>
    </i>
    <i r="2">
      <x v="46"/>
    </i>
    <i r="1">
      <x v="17"/>
      <x v="29"/>
    </i>
    <i r="2">
      <x v="50"/>
    </i>
    <i r="1">
      <x v="19"/>
      <x v="39"/>
    </i>
    <i t="blank">
      <x v="25"/>
    </i>
    <i>
      <x v="26"/>
    </i>
    <i r="1">
      <x/>
      <x v="41"/>
    </i>
    <i r="1">
      <x v="1"/>
      <x v="43"/>
    </i>
    <i r="1">
      <x v="2"/>
      <x v="36"/>
    </i>
    <i r="1">
      <x v="3"/>
      <x v="32"/>
    </i>
    <i r="1">
      <x v="4"/>
      <x/>
    </i>
    <i r="1">
      <x v="5"/>
      <x v="30"/>
    </i>
    <i r="1">
      <x v="6"/>
      <x v="46"/>
    </i>
    <i r="1">
      <x v="7"/>
      <x v="47"/>
    </i>
    <i r="1">
      <x v="8"/>
      <x v="29"/>
    </i>
    <i r="1">
      <x v="9"/>
      <x v="2"/>
    </i>
    <i r="1">
      <x v="10"/>
      <x v="31"/>
    </i>
    <i r="1">
      <x v="11"/>
      <x v="1"/>
    </i>
    <i r="1">
      <x v="12"/>
      <x v="38"/>
    </i>
    <i r="2">
      <x v="48"/>
    </i>
    <i r="1">
      <x v="14"/>
      <x v="39"/>
    </i>
    <i r="1">
      <x v="15"/>
      <x v="44"/>
    </i>
    <i r="1">
      <x v="16"/>
      <x v="50"/>
    </i>
    <i r="1">
      <x v="17"/>
      <x v="25"/>
    </i>
    <i r="2">
      <x v="42"/>
    </i>
    <i r="1">
      <x v="19"/>
      <x v="35"/>
    </i>
    <i t="blank">
      <x v="26"/>
    </i>
    <i>
      <x v="27"/>
    </i>
    <i r="1">
      <x/>
      <x v="43"/>
    </i>
    <i r="1">
      <x v="1"/>
      <x v="41"/>
    </i>
    <i r="1">
      <x v="2"/>
      <x/>
    </i>
    <i r="1">
      <x v="3"/>
      <x v="32"/>
    </i>
    <i r="1">
      <x v="4"/>
      <x v="30"/>
    </i>
    <i r="1">
      <x v="5"/>
      <x v="46"/>
    </i>
    <i r="1">
      <x v="6"/>
      <x v="47"/>
    </i>
    <i r="1">
      <x v="7"/>
      <x v="31"/>
    </i>
    <i r="1">
      <x v="8"/>
      <x v="42"/>
    </i>
    <i r="1">
      <x v="9"/>
      <x v="2"/>
    </i>
    <i r="2">
      <x v="36"/>
    </i>
    <i r="1">
      <x v="11"/>
      <x v="50"/>
    </i>
    <i r="1">
      <x v="12"/>
      <x v="1"/>
    </i>
    <i r="2">
      <x v="29"/>
    </i>
    <i r="2">
      <x v="44"/>
    </i>
    <i r="1">
      <x v="15"/>
      <x v="28"/>
    </i>
    <i r="1">
      <x v="16"/>
      <x v="39"/>
    </i>
    <i r="1">
      <x v="17"/>
      <x v="3"/>
    </i>
    <i r="2">
      <x v="38"/>
    </i>
    <i r="1">
      <x v="19"/>
      <x v="12"/>
    </i>
    <i r="2">
      <x v="25"/>
    </i>
    <i r="2">
      <x v="26"/>
    </i>
    <i r="2">
      <x v="34"/>
    </i>
    <i t="blank">
      <x v="27"/>
    </i>
    <i>
      <x v="28"/>
    </i>
    <i r="1">
      <x/>
      <x v="43"/>
    </i>
    <i r="1">
      <x v="1"/>
      <x/>
    </i>
    <i r="1">
      <x v="2"/>
      <x v="1"/>
    </i>
    <i r="2">
      <x v="41"/>
    </i>
    <i r="1">
      <x v="4"/>
      <x v="2"/>
    </i>
    <i r="1">
      <x v="5"/>
      <x v="32"/>
    </i>
    <i r="1">
      <x v="6"/>
      <x v="30"/>
    </i>
    <i r="1">
      <x v="7"/>
      <x v="47"/>
    </i>
    <i r="1">
      <x v="8"/>
      <x v="46"/>
    </i>
    <i r="1">
      <x v="9"/>
      <x v="31"/>
    </i>
    <i r="1">
      <x v="10"/>
      <x v="29"/>
    </i>
    <i r="2">
      <x v="36"/>
    </i>
    <i r="1">
      <x v="12"/>
      <x v="38"/>
    </i>
    <i r="1">
      <x v="13"/>
      <x v="44"/>
    </i>
    <i r="1">
      <x v="14"/>
      <x v="39"/>
    </i>
    <i r="1">
      <x v="15"/>
      <x v="50"/>
    </i>
    <i r="1">
      <x v="16"/>
      <x v="28"/>
    </i>
    <i r="1">
      <x v="17"/>
      <x v="35"/>
    </i>
    <i r="1">
      <x v="18"/>
      <x v="33"/>
    </i>
    <i r="2">
      <x v="48"/>
    </i>
    <i t="blank">
      <x v="28"/>
    </i>
    <i>
      <x v="29"/>
    </i>
    <i r="1">
      <x/>
      <x v="43"/>
    </i>
    <i r="1">
      <x v="1"/>
      <x v="36"/>
    </i>
    <i r="1">
      <x v="2"/>
      <x v="41"/>
    </i>
    <i r="1">
      <x v="3"/>
      <x v="32"/>
    </i>
    <i r="1">
      <x v="4"/>
      <x/>
    </i>
    <i r="1">
      <x v="5"/>
      <x v="30"/>
    </i>
    <i r="1">
      <x v="6"/>
      <x v="46"/>
    </i>
    <i r="1">
      <x v="7"/>
      <x v="47"/>
    </i>
    <i r="1">
      <x v="8"/>
      <x v="38"/>
    </i>
    <i r="1">
      <x v="9"/>
      <x v="31"/>
    </i>
    <i r="1">
      <x v="10"/>
      <x v="1"/>
    </i>
    <i r="1">
      <x v="11"/>
      <x v="29"/>
    </i>
    <i r="2">
      <x v="48"/>
    </i>
    <i r="1">
      <x v="13"/>
      <x v="2"/>
    </i>
    <i r="1">
      <x v="14"/>
      <x v="50"/>
    </i>
    <i r="1">
      <x v="15"/>
      <x v="33"/>
    </i>
    <i r="2">
      <x v="44"/>
    </i>
    <i r="1">
      <x v="17"/>
      <x v="39"/>
    </i>
    <i r="1">
      <x v="18"/>
      <x v="28"/>
    </i>
    <i r="1">
      <x v="19"/>
      <x v="35"/>
    </i>
    <i t="blank">
      <x v="29"/>
    </i>
    <i>
      <x v="30"/>
    </i>
    <i r="1">
      <x/>
      <x v="43"/>
    </i>
    <i r="1">
      <x v="1"/>
      <x v="41"/>
    </i>
    <i r="1">
      <x v="2"/>
      <x v="36"/>
    </i>
    <i r="1">
      <x v="3"/>
      <x/>
    </i>
    <i r="1">
      <x v="4"/>
      <x v="32"/>
    </i>
    <i r="1">
      <x v="5"/>
      <x v="30"/>
    </i>
    <i r="1">
      <x v="6"/>
      <x v="2"/>
    </i>
    <i r="1">
      <x v="7"/>
      <x v="38"/>
    </i>
    <i r="1">
      <x v="8"/>
      <x v="46"/>
    </i>
    <i r="1">
      <x v="9"/>
      <x v="29"/>
    </i>
    <i r="2">
      <x v="31"/>
    </i>
    <i r="1">
      <x v="11"/>
      <x v="47"/>
    </i>
    <i r="1">
      <x v="12"/>
      <x v="1"/>
    </i>
    <i r="2">
      <x v="39"/>
    </i>
    <i r="1">
      <x v="14"/>
      <x v="27"/>
    </i>
    <i r="1">
      <x v="15"/>
      <x v="28"/>
    </i>
    <i r="1">
      <x v="16"/>
      <x v="52"/>
    </i>
    <i r="1">
      <x v="17"/>
      <x v="26"/>
    </i>
    <i r="1">
      <x v="18"/>
      <x v="35"/>
    </i>
    <i r="2">
      <x v="44"/>
    </i>
    <i t="blank">
      <x v="30"/>
    </i>
    <i>
      <x v="31"/>
    </i>
    <i r="1">
      <x/>
      <x v="43"/>
    </i>
    <i r="1">
      <x v="1"/>
      <x v="41"/>
    </i>
    <i r="1">
      <x v="2"/>
      <x v="36"/>
    </i>
    <i r="1">
      <x v="3"/>
      <x v="1"/>
    </i>
    <i r="1">
      <x v="4"/>
      <x/>
    </i>
    <i r="1">
      <x v="5"/>
      <x v="46"/>
    </i>
    <i r="1">
      <x v="6"/>
      <x v="32"/>
    </i>
    <i r="1">
      <x v="7"/>
      <x v="2"/>
    </i>
    <i r="1">
      <x v="8"/>
      <x v="30"/>
    </i>
    <i r="1">
      <x v="9"/>
      <x v="31"/>
    </i>
    <i r="1">
      <x v="10"/>
      <x v="47"/>
    </i>
    <i r="1">
      <x v="11"/>
      <x v="38"/>
    </i>
    <i r="1">
      <x v="12"/>
      <x v="39"/>
    </i>
    <i r="1">
      <x v="13"/>
      <x v="28"/>
    </i>
    <i r="1">
      <x v="14"/>
      <x v="27"/>
    </i>
    <i r="1">
      <x v="15"/>
      <x v="29"/>
    </i>
    <i r="1">
      <x v="16"/>
      <x v="33"/>
    </i>
    <i r="1">
      <x v="17"/>
      <x v="26"/>
    </i>
    <i r="2">
      <x v="44"/>
    </i>
    <i r="1">
      <x v="19"/>
      <x v="25"/>
    </i>
    <i t="blank">
      <x v="31"/>
    </i>
    <i>
      <x v="32"/>
    </i>
    <i r="1">
      <x/>
      <x v="36"/>
    </i>
    <i r="1">
      <x v="1"/>
      <x v="43"/>
    </i>
    <i r="1">
      <x v="2"/>
      <x/>
    </i>
    <i r="1">
      <x v="3"/>
      <x v="1"/>
    </i>
    <i r="1">
      <x v="4"/>
      <x v="41"/>
    </i>
    <i r="1">
      <x v="5"/>
      <x v="27"/>
    </i>
    <i r="1">
      <x v="6"/>
      <x v="31"/>
    </i>
    <i r="1">
      <x v="7"/>
      <x v="2"/>
    </i>
    <i r="1">
      <x v="8"/>
      <x v="46"/>
    </i>
    <i r="1">
      <x v="9"/>
      <x v="32"/>
    </i>
    <i r="1">
      <x v="10"/>
      <x v="30"/>
    </i>
    <i r="1">
      <x v="11"/>
      <x v="47"/>
    </i>
    <i r="1">
      <x v="12"/>
      <x v="12"/>
    </i>
    <i r="1">
      <x v="13"/>
      <x v="50"/>
    </i>
    <i r="1">
      <x v="14"/>
      <x v="39"/>
    </i>
    <i r="1">
      <x v="15"/>
      <x v="28"/>
    </i>
    <i r="1">
      <x v="16"/>
      <x v="38"/>
    </i>
    <i r="1">
      <x v="17"/>
      <x v="26"/>
    </i>
    <i r="1">
      <x v="18"/>
      <x v="35"/>
    </i>
    <i r="1">
      <x v="19"/>
      <x v="33"/>
    </i>
    <i t="blank">
      <x v="32"/>
    </i>
    <i>
      <x v="33"/>
    </i>
    <i r="1">
      <x/>
      <x v="43"/>
    </i>
    <i r="1">
      <x v="1"/>
      <x v="41"/>
    </i>
    <i r="1">
      <x v="2"/>
      <x/>
    </i>
    <i r="1">
      <x v="3"/>
      <x v="32"/>
    </i>
    <i r="1">
      <x v="4"/>
      <x v="36"/>
    </i>
    <i r="1">
      <x v="5"/>
      <x v="30"/>
    </i>
    <i r="1">
      <x v="6"/>
      <x v="47"/>
    </i>
    <i r="1">
      <x v="7"/>
      <x v="46"/>
    </i>
    <i r="1">
      <x v="8"/>
      <x v="38"/>
    </i>
    <i r="1">
      <x v="9"/>
      <x v="1"/>
    </i>
    <i r="1">
      <x v="10"/>
      <x v="48"/>
    </i>
    <i r="1">
      <x v="11"/>
      <x v="35"/>
    </i>
    <i r="1">
      <x v="12"/>
      <x v="2"/>
    </i>
    <i r="1">
      <x v="13"/>
      <x v="50"/>
    </i>
    <i r="1">
      <x v="14"/>
      <x v="31"/>
    </i>
    <i r="1">
      <x v="15"/>
      <x v="29"/>
    </i>
    <i r="2">
      <x v="39"/>
    </i>
    <i r="1">
      <x v="17"/>
      <x v="42"/>
    </i>
    <i r="1">
      <x v="18"/>
      <x v="28"/>
    </i>
    <i r="2">
      <x v="52"/>
    </i>
    <i t="blank">
      <x v="33"/>
    </i>
    <i>
      <x v="34"/>
    </i>
    <i r="1">
      <x/>
      <x v="43"/>
    </i>
    <i r="1">
      <x v="1"/>
      <x v="36"/>
    </i>
    <i r="1">
      <x v="2"/>
      <x v="32"/>
    </i>
    <i r="1">
      <x v="3"/>
      <x/>
    </i>
    <i r="1">
      <x v="4"/>
      <x v="1"/>
    </i>
    <i r="1">
      <x v="5"/>
      <x v="30"/>
    </i>
    <i r="1">
      <x v="6"/>
      <x v="41"/>
    </i>
    <i r="1">
      <x v="7"/>
      <x v="31"/>
    </i>
    <i r="1">
      <x v="8"/>
      <x v="2"/>
    </i>
    <i r="1">
      <x v="9"/>
      <x v="46"/>
    </i>
    <i r="1">
      <x v="10"/>
      <x v="47"/>
    </i>
    <i r="1">
      <x v="11"/>
      <x v="39"/>
    </i>
    <i r="1">
      <x v="12"/>
      <x v="38"/>
    </i>
    <i r="1">
      <x v="13"/>
      <x v="48"/>
    </i>
    <i r="1">
      <x v="14"/>
      <x v="28"/>
    </i>
    <i r="2">
      <x v="29"/>
    </i>
    <i r="1">
      <x v="16"/>
      <x v="27"/>
    </i>
    <i r="1">
      <x v="17"/>
      <x v="52"/>
    </i>
    <i r="1">
      <x v="18"/>
      <x v="35"/>
    </i>
    <i r="1">
      <x v="19"/>
      <x v="50"/>
    </i>
    <i t="blank">
      <x v="34"/>
    </i>
    <i>
      <x v="35"/>
    </i>
    <i r="1">
      <x/>
      <x v="43"/>
    </i>
    <i r="1">
      <x v="1"/>
      <x v="41"/>
    </i>
    <i r="1">
      <x v="2"/>
      <x/>
    </i>
    <i r="1">
      <x v="3"/>
      <x v="36"/>
    </i>
    <i r="1">
      <x v="4"/>
      <x v="32"/>
    </i>
    <i r="1">
      <x v="5"/>
      <x v="31"/>
    </i>
    <i r="1">
      <x v="6"/>
      <x v="1"/>
    </i>
    <i r="1">
      <x v="7"/>
      <x v="47"/>
    </i>
    <i r="1">
      <x v="8"/>
      <x v="46"/>
    </i>
    <i r="1">
      <x v="9"/>
      <x v="2"/>
    </i>
    <i r="1">
      <x v="10"/>
      <x v="30"/>
    </i>
    <i r="1">
      <x v="11"/>
      <x v="38"/>
    </i>
    <i r="1">
      <x v="12"/>
      <x v="42"/>
    </i>
    <i r="1">
      <x v="13"/>
      <x v="26"/>
    </i>
    <i r="1">
      <x v="14"/>
      <x v="27"/>
    </i>
    <i r="1">
      <x v="15"/>
      <x v="39"/>
    </i>
    <i r="2">
      <x v="50"/>
    </i>
    <i r="1">
      <x v="17"/>
      <x v="44"/>
    </i>
    <i r="1">
      <x v="18"/>
      <x v="28"/>
    </i>
    <i r="2">
      <x v="35"/>
    </i>
    <i r="2">
      <x v="52"/>
    </i>
    <i t="blank">
      <x v="35"/>
    </i>
    <i>
      <x v="36"/>
    </i>
    <i r="1">
      <x/>
      <x v="43"/>
    </i>
    <i r="1">
      <x v="1"/>
      <x v="41"/>
    </i>
    <i r="1">
      <x v="2"/>
      <x/>
    </i>
    <i r="1">
      <x v="3"/>
      <x v="30"/>
    </i>
    <i r="1">
      <x v="4"/>
      <x v="32"/>
    </i>
    <i r="1">
      <x v="5"/>
      <x v="47"/>
    </i>
    <i r="1">
      <x v="6"/>
      <x v="46"/>
    </i>
    <i r="1">
      <x v="7"/>
      <x v="2"/>
    </i>
    <i r="1">
      <x v="8"/>
      <x v="36"/>
    </i>
    <i r="1">
      <x v="9"/>
      <x v="29"/>
    </i>
    <i r="2">
      <x v="38"/>
    </i>
    <i r="1">
      <x v="11"/>
      <x v="31"/>
    </i>
    <i r="1">
      <x v="12"/>
      <x v="1"/>
    </i>
    <i r="1">
      <x v="13"/>
      <x v="35"/>
    </i>
    <i r="1">
      <x v="14"/>
      <x v="50"/>
    </i>
    <i r="1">
      <x v="15"/>
      <x v="39"/>
    </i>
    <i r="1">
      <x v="16"/>
      <x v="44"/>
    </i>
    <i r="1">
      <x v="17"/>
      <x v="45"/>
    </i>
    <i r="2">
      <x v="48"/>
    </i>
    <i r="1">
      <x v="19"/>
      <x v="33"/>
    </i>
    <i t="blank">
      <x v="36"/>
    </i>
    <i>
      <x v="37"/>
    </i>
    <i r="1">
      <x/>
      <x v="41"/>
    </i>
    <i r="1">
      <x v="1"/>
      <x v="32"/>
    </i>
    <i r="1">
      <x v="2"/>
      <x v="43"/>
    </i>
    <i r="1">
      <x v="3"/>
      <x/>
    </i>
    <i r="1">
      <x v="4"/>
      <x v="30"/>
    </i>
    <i r="1">
      <x v="5"/>
      <x v="1"/>
    </i>
    <i r="1">
      <x v="6"/>
      <x v="31"/>
    </i>
    <i r="1">
      <x v="7"/>
      <x v="3"/>
    </i>
    <i r="2">
      <x v="29"/>
    </i>
    <i r="1">
      <x v="9"/>
      <x v="46"/>
    </i>
    <i r="1">
      <x v="10"/>
      <x v="2"/>
    </i>
    <i r="2">
      <x v="50"/>
    </i>
    <i r="1">
      <x v="12"/>
      <x v="38"/>
    </i>
    <i r="2">
      <x v="47"/>
    </i>
    <i r="1">
      <x v="14"/>
      <x v="36"/>
    </i>
    <i r="1">
      <x v="15"/>
      <x v="6"/>
    </i>
    <i r="2">
      <x v="35"/>
    </i>
    <i r="1">
      <x v="17"/>
      <x v="39"/>
    </i>
    <i r="1">
      <x v="18"/>
      <x v="28"/>
    </i>
    <i r="1">
      <x v="19"/>
      <x v="7"/>
    </i>
    <i r="2">
      <x v="10"/>
    </i>
    <i r="2">
      <x v="12"/>
    </i>
    <i r="2">
      <x v="26"/>
    </i>
    <i r="2">
      <x v="27"/>
    </i>
    <i t="blank">
      <x v="37"/>
    </i>
    <i>
      <x v="38"/>
    </i>
    <i r="1">
      <x/>
      <x v="43"/>
    </i>
    <i r="1">
      <x v="1"/>
      <x/>
    </i>
    <i r="1">
      <x v="2"/>
      <x v="32"/>
    </i>
    <i r="1">
      <x v="3"/>
      <x v="41"/>
    </i>
    <i r="1">
      <x v="4"/>
      <x v="30"/>
    </i>
    <i r="1">
      <x v="5"/>
      <x v="31"/>
    </i>
    <i r="1">
      <x v="6"/>
      <x v="2"/>
    </i>
    <i r="1">
      <x v="7"/>
      <x v="1"/>
    </i>
    <i r="1">
      <x v="8"/>
      <x v="36"/>
    </i>
    <i r="1">
      <x v="9"/>
      <x v="48"/>
    </i>
    <i r="1">
      <x v="10"/>
      <x v="47"/>
    </i>
    <i r="2">
      <x v="50"/>
    </i>
    <i r="1">
      <x v="12"/>
      <x v="39"/>
    </i>
    <i r="2">
      <x v="44"/>
    </i>
    <i r="2">
      <x v="46"/>
    </i>
    <i r="1">
      <x v="15"/>
      <x v="42"/>
    </i>
    <i r="1">
      <x v="16"/>
      <x v="3"/>
    </i>
    <i r="2">
      <x v="23"/>
    </i>
    <i r="2">
      <x v="26"/>
    </i>
    <i r="2">
      <x v="38"/>
    </i>
    <i t="blank">
      <x v="38"/>
    </i>
    <i>
      <x v="39"/>
    </i>
    <i r="1">
      <x/>
      <x v="43"/>
    </i>
    <i r="1">
      <x v="1"/>
      <x/>
    </i>
    <i r="1">
      <x v="2"/>
      <x v="32"/>
    </i>
    <i r="1">
      <x v="3"/>
      <x v="41"/>
    </i>
    <i r="1">
      <x v="4"/>
      <x v="30"/>
    </i>
    <i r="1">
      <x v="5"/>
      <x v="31"/>
    </i>
    <i r="1">
      <x v="6"/>
      <x v="48"/>
    </i>
    <i r="1">
      <x v="7"/>
      <x v="47"/>
    </i>
    <i r="1">
      <x v="8"/>
      <x v="1"/>
    </i>
    <i r="1">
      <x v="9"/>
      <x v="50"/>
    </i>
    <i r="1">
      <x v="10"/>
      <x v="46"/>
    </i>
    <i r="1">
      <x v="11"/>
      <x v="2"/>
    </i>
    <i r="1">
      <x v="12"/>
      <x v="36"/>
    </i>
    <i r="1">
      <x v="13"/>
      <x v="29"/>
    </i>
    <i r="2">
      <x v="39"/>
    </i>
    <i r="1">
      <x v="15"/>
      <x v="44"/>
    </i>
    <i r="1">
      <x v="16"/>
      <x v="3"/>
    </i>
    <i r="2">
      <x v="7"/>
    </i>
    <i r="2">
      <x v="42"/>
    </i>
    <i r="1">
      <x v="19"/>
      <x v="26"/>
    </i>
    <i r="2">
      <x v="38"/>
    </i>
    <i t="blank">
      <x v="39"/>
    </i>
    <i>
      <x v="40"/>
    </i>
    <i r="1">
      <x/>
      <x v="43"/>
    </i>
    <i r="1">
      <x v="1"/>
      <x v="32"/>
    </i>
    <i r="1">
      <x v="2"/>
      <x v="41"/>
    </i>
    <i r="1">
      <x v="3"/>
      <x/>
    </i>
    <i r="1">
      <x v="4"/>
      <x v="30"/>
    </i>
    <i r="1">
      <x v="5"/>
      <x v="31"/>
    </i>
    <i r="1">
      <x v="6"/>
      <x v="1"/>
    </i>
    <i r="1">
      <x v="7"/>
      <x v="36"/>
    </i>
    <i r="1">
      <x v="8"/>
      <x v="2"/>
    </i>
    <i r="1">
      <x v="9"/>
      <x v="47"/>
    </i>
    <i r="1">
      <x v="10"/>
      <x v="29"/>
    </i>
    <i r="1">
      <x v="11"/>
      <x v="38"/>
    </i>
    <i r="1">
      <x v="12"/>
      <x v="3"/>
    </i>
    <i r="1">
      <x v="13"/>
      <x v="50"/>
    </i>
    <i r="1">
      <x v="14"/>
      <x v="25"/>
    </i>
    <i r="2">
      <x v="46"/>
    </i>
    <i r="1">
      <x v="16"/>
      <x v="39"/>
    </i>
    <i r="1">
      <x v="17"/>
      <x v="12"/>
    </i>
    <i r="1">
      <x v="18"/>
      <x v="44"/>
    </i>
    <i r="1">
      <x v="19"/>
      <x v="26"/>
    </i>
    <i t="blank">
      <x v="40"/>
    </i>
    <i>
      <x v="41"/>
    </i>
    <i r="1">
      <x/>
      <x/>
    </i>
    <i r="1">
      <x v="1"/>
      <x v="43"/>
    </i>
    <i r="1">
      <x v="2"/>
      <x v="32"/>
    </i>
    <i r="1">
      <x v="3"/>
      <x v="30"/>
    </i>
    <i r="1">
      <x v="4"/>
      <x v="41"/>
    </i>
    <i r="1">
      <x v="5"/>
      <x v="1"/>
    </i>
    <i r="1">
      <x v="6"/>
      <x v="31"/>
    </i>
    <i r="2">
      <x v="36"/>
    </i>
    <i r="1">
      <x v="8"/>
      <x v="47"/>
    </i>
    <i r="1">
      <x v="9"/>
      <x v="2"/>
    </i>
    <i r="1">
      <x v="10"/>
      <x v="46"/>
    </i>
    <i r="1">
      <x v="11"/>
      <x v="29"/>
    </i>
    <i r="1">
      <x v="12"/>
      <x v="48"/>
    </i>
    <i r="2">
      <x v="50"/>
    </i>
    <i r="1">
      <x v="14"/>
      <x v="26"/>
    </i>
    <i r="1">
      <x v="15"/>
      <x v="3"/>
    </i>
    <i r="1">
      <x v="16"/>
      <x v="39"/>
    </i>
    <i r="1">
      <x v="17"/>
      <x v="38"/>
    </i>
    <i r="1">
      <x v="18"/>
      <x v="17"/>
    </i>
    <i r="2">
      <x v="33"/>
    </i>
    <i t="blank">
      <x v="41"/>
    </i>
    <i>
      <x v="42"/>
    </i>
    <i r="1">
      <x/>
      <x v="41"/>
    </i>
    <i r="1">
      <x v="1"/>
      <x v="43"/>
    </i>
    <i r="1">
      <x v="2"/>
      <x/>
    </i>
    <i r="1">
      <x v="3"/>
      <x v="32"/>
    </i>
    <i r="1">
      <x v="4"/>
      <x v="30"/>
    </i>
    <i r="1">
      <x v="5"/>
      <x v="1"/>
    </i>
    <i r="2">
      <x v="2"/>
    </i>
    <i r="1">
      <x v="7"/>
      <x v="36"/>
    </i>
    <i r="1">
      <x v="8"/>
      <x v="31"/>
    </i>
    <i r="1">
      <x v="9"/>
      <x v="46"/>
    </i>
    <i r="1">
      <x v="10"/>
      <x v="47"/>
    </i>
    <i r="1">
      <x v="11"/>
      <x v="39"/>
    </i>
    <i r="1">
      <x v="12"/>
      <x v="38"/>
    </i>
    <i r="1">
      <x v="13"/>
      <x v="29"/>
    </i>
    <i r="1">
      <x v="14"/>
      <x v="48"/>
    </i>
    <i r="1">
      <x v="15"/>
      <x v="3"/>
    </i>
    <i r="1">
      <x v="16"/>
      <x v="22"/>
    </i>
    <i r="2">
      <x v="44"/>
    </i>
    <i r="1">
      <x v="18"/>
      <x v="27"/>
    </i>
    <i r="2">
      <x v="50"/>
    </i>
    <i t="blank">
      <x v="42"/>
    </i>
    <i>
      <x v="43"/>
    </i>
    <i r="1">
      <x/>
      <x v="1"/>
    </i>
    <i r="1">
      <x v="1"/>
      <x v="43"/>
    </i>
    <i r="1">
      <x v="2"/>
      <x/>
    </i>
    <i r="1">
      <x v="3"/>
      <x v="41"/>
    </i>
    <i r="1">
      <x v="4"/>
      <x v="31"/>
    </i>
    <i r="1">
      <x v="5"/>
      <x v="2"/>
    </i>
    <i r="1">
      <x v="6"/>
      <x v="32"/>
    </i>
    <i r="1">
      <x v="7"/>
      <x v="36"/>
    </i>
    <i r="1">
      <x v="8"/>
      <x v="30"/>
    </i>
    <i r="1">
      <x v="9"/>
      <x v="46"/>
    </i>
    <i r="1">
      <x v="10"/>
      <x v="50"/>
    </i>
    <i r="1">
      <x v="11"/>
      <x v="38"/>
    </i>
    <i r="1">
      <x v="12"/>
      <x v="17"/>
    </i>
    <i r="1">
      <x v="13"/>
      <x v="39"/>
    </i>
    <i r="1">
      <x v="14"/>
      <x v="7"/>
    </i>
    <i r="2">
      <x v="27"/>
    </i>
    <i r="2">
      <x v="47"/>
    </i>
    <i r="1">
      <x v="17"/>
      <x v="52"/>
    </i>
    <i r="1">
      <x v="18"/>
      <x v="28"/>
    </i>
    <i r="1">
      <x v="19"/>
      <x v="48"/>
    </i>
    <i t="blank">
      <x v="43"/>
    </i>
    <i>
      <x v="44"/>
    </i>
    <i r="1">
      <x/>
      <x/>
    </i>
    <i r="1">
      <x v="1"/>
      <x v="1"/>
    </i>
    <i r="1">
      <x v="2"/>
      <x v="2"/>
    </i>
    <i r="1">
      <x v="3"/>
      <x v="43"/>
    </i>
    <i r="1">
      <x v="4"/>
      <x v="41"/>
    </i>
    <i r="1">
      <x v="5"/>
      <x v="36"/>
    </i>
    <i r="1">
      <x v="6"/>
      <x v="12"/>
    </i>
    <i r="2">
      <x v="39"/>
    </i>
    <i r="1">
      <x v="8"/>
      <x v="32"/>
    </i>
    <i r="1">
      <x v="9"/>
      <x v="31"/>
    </i>
    <i r="2">
      <x v="46"/>
    </i>
    <i r="1">
      <x v="11"/>
      <x v="7"/>
    </i>
    <i r="1">
      <x v="12"/>
      <x v="30"/>
    </i>
    <i r="1">
      <x v="13"/>
      <x v="27"/>
    </i>
    <i r="1">
      <x v="14"/>
      <x v="47"/>
    </i>
    <i r="1">
      <x v="15"/>
      <x v="38"/>
    </i>
    <i r="1">
      <x v="16"/>
      <x v="28"/>
    </i>
    <i r="2">
      <x v="50"/>
    </i>
    <i r="1">
      <x v="18"/>
      <x v="22"/>
    </i>
    <i r="2">
      <x v="48"/>
    </i>
    <i r="2">
      <x v="51"/>
    </i>
    <i t="blank">
      <x v="44"/>
    </i>
    <i>
      <x v="45"/>
    </i>
    <i r="1">
      <x/>
      <x v="43"/>
    </i>
    <i r="1">
      <x v="1"/>
      <x v="41"/>
    </i>
    <i r="1">
      <x v="2"/>
      <x/>
    </i>
    <i r="1">
      <x v="3"/>
      <x v="36"/>
    </i>
    <i r="1">
      <x v="4"/>
      <x v="32"/>
    </i>
    <i r="1">
      <x v="5"/>
      <x v="1"/>
    </i>
    <i r="1">
      <x v="6"/>
      <x v="2"/>
    </i>
    <i r="2">
      <x v="31"/>
    </i>
    <i r="1">
      <x v="8"/>
      <x v="30"/>
    </i>
    <i r="1">
      <x v="9"/>
      <x v="38"/>
    </i>
    <i r="2">
      <x v="47"/>
    </i>
    <i r="1">
      <x v="11"/>
      <x v="46"/>
    </i>
    <i r="1">
      <x v="12"/>
      <x v="23"/>
    </i>
    <i r="2">
      <x v="29"/>
    </i>
    <i r="1">
      <x v="14"/>
      <x v="44"/>
    </i>
    <i r="1">
      <x v="15"/>
      <x v="27"/>
    </i>
    <i r="2">
      <x v="28"/>
    </i>
    <i r="2">
      <x v="35"/>
    </i>
    <i r="2">
      <x v="39"/>
    </i>
    <i r="2">
      <x v="42"/>
    </i>
    <i r="2">
      <x v="50"/>
    </i>
    <i r="2">
      <x v="52"/>
    </i>
    <i t="blank">
      <x v="45"/>
    </i>
    <i>
      <x v="46"/>
    </i>
    <i r="1">
      <x/>
      <x v="36"/>
    </i>
    <i r="1">
      <x v="1"/>
      <x v="41"/>
    </i>
    <i r="1">
      <x v="2"/>
      <x v="43"/>
    </i>
    <i r="1">
      <x v="3"/>
      <x v="1"/>
    </i>
    <i r="1">
      <x v="4"/>
      <x v="32"/>
    </i>
    <i r="1">
      <x v="5"/>
      <x v="30"/>
    </i>
    <i r="1">
      <x v="6"/>
      <x v="2"/>
    </i>
    <i r="1">
      <x v="7"/>
      <x v="31"/>
    </i>
    <i r="1">
      <x v="8"/>
      <x/>
    </i>
    <i r="1">
      <x v="9"/>
      <x v="12"/>
    </i>
    <i r="2">
      <x v="47"/>
    </i>
    <i r="1">
      <x v="11"/>
      <x v="25"/>
    </i>
    <i r="1">
      <x v="12"/>
      <x v="46"/>
    </i>
    <i r="1">
      <x v="13"/>
      <x v="28"/>
    </i>
    <i r="2">
      <x v="50"/>
    </i>
    <i r="1">
      <x v="15"/>
      <x v="38"/>
    </i>
    <i r="1">
      <x v="16"/>
      <x v="26"/>
    </i>
    <i r="2">
      <x v="29"/>
    </i>
    <i r="2">
      <x v="35"/>
    </i>
    <i r="2">
      <x v="44"/>
    </i>
    <i t="blank">
      <x v="46"/>
    </i>
    <i>
      <x v="47"/>
    </i>
    <i r="1">
      <x/>
      <x v="1"/>
    </i>
    <i r="1">
      <x v="1"/>
      <x v="2"/>
    </i>
    <i r="1">
      <x v="2"/>
      <x v="12"/>
    </i>
    <i r="1">
      <x v="3"/>
      <x/>
    </i>
    <i r="1">
      <x v="4"/>
      <x v="41"/>
    </i>
    <i r="1">
      <x v="5"/>
      <x v="43"/>
    </i>
    <i r="1">
      <x v="6"/>
      <x v="7"/>
    </i>
    <i r="2">
      <x v="31"/>
    </i>
    <i r="2">
      <x v="32"/>
    </i>
    <i r="2">
      <x v="36"/>
    </i>
    <i r="1">
      <x v="10"/>
      <x v="50"/>
    </i>
    <i r="1">
      <x v="11"/>
      <x v="46"/>
    </i>
    <i r="1">
      <x v="12"/>
      <x v="47"/>
    </i>
    <i r="1">
      <x v="13"/>
      <x v="27"/>
    </i>
    <i r="2">
      <x v="30"/>
    </i>
    <i r="2">
      <x v="33"/>
    </i>
    <i r="1">
      <x v="16"/>
      <x v="17"/>
    </i>
    <i r="2">
      <x v="23"/>
    </i>
    <i r="1">
      <x v="18"/>
      <x v="13"/>
    </i>
    <i r="2">
      <x v="14"/>
    </i>
    <i r="2">
      <x v="22"/>
    </i>
    <i r="2">
      <x v="26"/>
    </i>
    <i t="blank">
      <x v="47"/>
    </i>
    <i>
      <x v="48"/>
    </i>
    <i r="1">
      <x/>
      <x v="36"/>
    </i>
    <i r="1">
      <x v="1"/>
      <x/>
    </i>
    <i r="2">
      <x v="32"/>
    </i>
    <i r="1">
      <x v="3"/>
      <x v="43"/>
    </i>
    <i r="1">
      <x v="4"/>
      <x v="1"/>
    </i>
    <i r="1">
      <x v="5"/>
      <x v="2"/>
    </i>
    <i r="2">
      <x v="30"/>
    </i>
    <i r="1">
      <x v="7"/>
      <x v="41"/>
    </i>
    <i r="1">
      <x v="8"/>
      <x v="31"/>
    </i>
    <i r="1">
      <x v="9"/>
      <x v="26"/>
    </i>
    <i r="1">
      <x v="10"/>
      <x v="46"/>
    </i>
    <i r="1">
      <x v="11"/>
      <x v="38"/>
    </i>
    <i r="1">
      <x v="12"/>
      <x v="47"/>
    </i>
    <i r="1">
      <x v="13"/>
      <x v="23"/>
    </i>
    <i r="2">
      <x v="51"/>
    </i>
    <i r="1">
      <x v="15"/>
      <x v="33"/>
    </i>
    <i r="2">
      <x v="35"/>
    </i>
    <i r="2">
      <x v="44"/>
    </i>
    <i r="2">
      <x v="48"/>
    </i>
    <i r="1">
      <x v="19"/>
      <x v="50"/>
    </i>
    <i t="blank">
      <x v="48"/>
    </i>
    <i>
      <x v="49"/>
    </i>
    <i r="1">
      <x/>
      <x v="41"/>
    </i>
    <i r="1">
      <x v="1"/>
      <x/>
    </i>
    <i r="1">
      <x v="2"/>
      <x v="31"/>
    </i>
    <i r="2">
      <x v="32"/>
    </i>
    <i r="1">
      <x v="4"/>
      <x v="30"/>
    </i>
    <i r="1">
      <x v="5"/>
      <x v="1"/>
    </i>
    <i r="1">
      <x v="6"/>
      <x v="2"/>
    </i>
    <i r="1">
      <x v="7"/>
      <x v="26"/>
    </i>
    <i r="2">
      <x v="29"/>
    </i>
    <i r="2">
      <x v="43"/>
    </i>
    <i r="2">
      <x v="47"/>
    </i>
    <i r="2">
      <x v="50"/>
    </i>
    <i r="1">
      <x v="12"/>
      <x v="28"/>
    </i>
    <i r="2">
      <x v="36"/>
    </i>
    <i r="1">
      <x v="14"/>
      <x v="3"/>
    </i>
    <i r="2">
      <x v="23"/>
    </i>
    <i r="2">
      <x v="27"/>
    </i>
    <i r="2">
      <x v="37"/>
    </i>
    <i r="2">
      <x v="44"/>
    </i>
    <i r="1">
      <x v="19"/>
      <x v="12"/>
    </i>
    <i r="2">
      <x v="39"/>
    </i>
    <i r="2">
      <x v="45"/>
    </i>
    <i r="2">
      <x v="48"/>
    </i>
    <i r="2">
      <x v="52"/>
    </i>
    <i t="blank">
      <x v="49"/>
    </i>
    <i>
      <x v="50"/>
    </i>
    <i r="1">
      <x/>
      <x v="43"/>
    </i>
    <i r="1">
      <x v="1"/>
      <x v="32"/>
    </i>
    <i r="1">
      <x v="2"/>
      <x v="36"/>
    </i>
    <i r="1">
      <x v="3"/>
      <x v="1"/>
    </i>
    <i r="1">
      <x v="4"/>
      <x/>
    </i>
    <i r="1">
      <x v="5"/>
      <x v="41"/>
    </i>
    <i r="1">
      <x v="6"/>
      <x v="2"/>
    </i>
    <i r="1">
      <x v="7"/>
      <x v="29"/>
    </i>
    <i r="1">
      <x v="8"/>
      <x v="31"/>
    </i>
    <i r="1">
      <x v="9"/>
      <x v="38"/>
    </i>
    <i r="1">
      <x v="10"/>
      <x v="27"/>
    </i>
    <i r="1">
      <x v="11"/>
      <x v="28"/>
    </i>
    <i r="1">
      <x v="12"/>
      <x v="26"/>
    </i>
    <i r="2">
      <x v="30"/>
    </i>
    <i r="2">
      <x v="47"/>
    </i>
    <i r="1">
      <x v="15"/>
      <x v="25"/>
    </i>
    <i r="2">
      <x v="46"/>
    </i>
    <i r="1">
      <x v="17"/>
      <x v="50"/>
    </i>
    <i r="1">
      <x v="18"/>
      <x v="23"/>
    </i>
    <i r="2">
      <x v="44"/>
    </i>
    <i t="blank">
      <x v="50"/>
    </i>
    <i>
      <x v="51"/>
    </i>
    <i r="1">
      <x/>
      <x v="41"/>
    </i>
    <i r="1">
      <x v="1"/>
      <x/>
    </i>
    <i r="2">
      <x v="43"/>
    </i>
    <i r="1">
      <x v="3"/>
      <x v="32"/>
    </i>
    <i r="1">
      <x v="4"/>
      <x v="2"/>
    </i>
    <i r="1">
      <x v="5"/>
      <x v="36"/>
    </i>
    <i r="1">
      <x v="6"/>
      <x v="30"/>
    </i>
    <i r="1">
      <x v="7"/>
      <x v="31"/>
    </i>
    <i r="1">
      <x v="8"/>
      <x v="48"/>
    </i>
    <i r="1">
      <x v="9"/>
      <x v="1"/>
    </i>
    <i r="1">
      <x v="10"/>
      <x v="45"/>
    </i>
    <i r="2">
      <x v="50"/>
    </i>
    <i r="1">
      <x v="12"/>
      <x v="46"/>
    </i>
    <i r="1">
      <x v="13"/>
      <x v="3"/>
    </i>
    <i r="2">
      <x v="26"/>
    </i>
    <i r="2">
      <x v="34"/>
    </i>
    <i r="2">
      <x v="44"/>
    </i>
    <i r="2">
      <x v="47"/>
    </i>
    <i r="2">
      <x v="51"/>
    </i>
    <i r="1">
      <x v="19"/>
      <x v="14"/>
    </i>
    <i r="2">
      <x v="21"/>
    </i>
    <i r="2">
      <x v="29"/>
    </i>
    <i r="2">
      <x v="33"/>
    </i>
    <i r="2">
      <x v="35"/>
    </i>
    <i r="2">
      <x v="38"/>
    </i>
    <i t="blank">
      <x v="51"/>
    </i>
    <i>
      <x v="52"/>
    </i>
    <i r="1">
      <x/>
      <x/>
    </i>
    <i r="1">
      <x v="1"/>
      <x v="43"/>
    </i>
    <i r="1">
      <x v="2"/>
      <x v="41"/>
    </i>
    <i r="1">
      <x v="3"/>
      <x v="36"/>
    </i>
    <i r="1">
      <x v="4"/>
      <x v="1"/>
    </i>
    <i r="2">
      <x v="2"/>
    </i>
    <i r="1">
      <x v="6"/>
      <x v="30"/>
    </i>
    <i r="2">
      <x v="31"/>
    </i>
    <i r="2">
      <x v="32"/>
    </i>
    <i r="1">
      <x v="9"/>
      <x v="46"/>
    </i>
    <i r="1">
      <x v="10"/>
      <x v="47"/>
    </i>
    <i r="1">
      <x v="11"/>
      <x v="50"/>
    </i>
    <i r="1">
      <x v="12"/>
      <x v="38"/>
    </i>
    <i r="2">
      <x v="48"/>
    </i>
    <i r="1">
      <x v="14"/>
      <x v="28"/>
    </i>
    <i r="2">
      <x v="39"/>
    </i>
    <i r="2">
      <x v="44"/>
    </i>
    <i r="1">
      <x v="17"/>
      <x v="7"/>
    </i>
    <i r="2">
      <x v="29"/>
    </i>
    <i r="2">
      <x v="35"/>
    </i>
    <i t="blank">
      <x v="52"/>
    </i>
    <i>
      <x v="53"/>
    </i>
    <i r="1">
      <x/>
      <x v="43"/>
    </i>
    <i r="1">
      <x v="1"/>
      <x/>
    </i>
    <i r="1">
      <x v="2"/>
      <x v="41"/>
    </i>
    <i r="1">
      <x v="3"/>
      <x v="1"/>
    </i>
    <i r="1">
      <x v="4"/>
      <x v="2"/>
    </i>
    <i r="2">
      <x v="30"/>
    </i>
    <i r="1">
      <x v="6"/>
      <x v="32"/>
    </i>
    <i r="1">
      <x v="7"/>
      <x v="46"/>
    </i>
    <i r="1">
      <x v="8"/>
      <x v="31"/>
    </i>
    <i r="1">
      <x v="9"/>
      <x v="36"/>
    </i>
    <i r="2">
      <x v="38"/>
    </i>
    <i r="1">
      <x v="11"/>
      <x v="47"/>
    </i>
    <i r="1">
      <x v="12"/>
      <x v="48"/>
    </i>
    <i r="2">
      <x v="50"/>
    </i>
    <i r="1">
      <x v="14"/>
      <x v="39"/>
    </i>
    <i r="2">
      <x v="44"/>
    </i>
    <i r="1">
      <x v="16"/>
      <x v="35"/>
    </i>
    <i r="2">
      <x v="52"/>
    </i>
    <i r="1">
      <x v="18"/>
      <x v="26"/>
    </i>
    <i r="2">
      <x v="29"/>
    </i>
    <i r="2">
      <x v="33"/>
    </i>
    <i t="blank">
      <x v="53"/>
    </i>
    <i>
      <x v="54"/>
    </i>
    <i r="1">
      <x/>
      <x v="41"/>
    </i>
    <i r="1">
      <x v="1"/>
      <x/>
    </i>
    <i r="1">
      <x v="2"/>
      <x v="43"/>
    </i>
    <i r="1">
      <x v="3"/>
      <x v="1"/>
    </i>
    <i r="1">
      <x v="4"/>
      <x v="50"/>
    </i>
    <i r="1">
      <x v="5"/>
      <x v="30"/>
    </i>
    <i r="1">
      <x v="6"/>
      <x v="32"/>
    </i>
    <i r="1">
      <x v="7"/>
      <x v="2"/>
    </i>
    <i r="2">
      <x v="31"/>
    </i>
    <i r="1">
      <x v="9"/>
      <x v="36"/>
    </i>
    <i r="1">
      <x v="10"/>
      <x v="46"/>
    </i>
    <i r="2">
      <x v="47"/>
    </i>
    <i r="1">
      <x v="12"/>
      <x v="26"/>
    </i>
    <i r="1">
      <x v="13"/>
      <x v="12"/>
    </i>
    <i r="2">
      <x v="29"/>
    </i>
    <i r="1">
      <x v="15"/>
      <x v="39"/>
    </i>
    <i r="1">
      <x v="16"/>
      <x v="27"/>
    </i>
    <i r="1">
      <x v="17"/>
      <x v="35"/>
    </i>
    <i r="2">
      <x v="44"/>
    </i>
    <i r="2">
      <x v="48"/>
    </i>
    <i r="2">
      <x v="51"/>
    </i>
    <i t="blank">
      <x v="54"/>
    </i>
    <i>
      <x v="55"/>
    </i>
    <i r="1">
      <x/>
      <x/>
    </i>
    <i r="1">
      <x v="1"/>
      <x v="43"/>
    </i>
    <i r="1">
      <x v="2"/>
      <x v="2"/>
    </i>
    <i r="2">
      <x v="30"/>
    </i>
    <i r="1">
      <x v="4"/>
      <x v="12"/>
    </i>
    <i r="1">
      <x v="5"/>
      <x v="31"/>
    </i>
    <i r="2">
      <x v="32"/>
    </i>
    <i r="2">
      <x v="48"/>
    </i>
    <i r="1">
      <x v="8"/>
      <x v="1"/>
    </i>
    <i r="2">
      <x v="14"/>
    </i>
    <i r="2">
      <x v="29"/>
    </i>
    <i r="2">
      <x v="50"/>
    </i>
    <i r="1">
      <x v="12"/>
      <x v="10"/>
    </i>
    <i r="2">
      <x v="23"/>
    </i>
    <i r="2">
      <x v="26"/>
    </i>
    <i r="1">
      <x v="15"/>
      <x v="8"/>
    </i>
    <i r="2">
      <x v="11"/>
    </i>
    <i r="2">
      <x v="13"/>
    </i>
    <i r="2">
      <x v="25"/>
    </i>
    <i r="2">
      <x v="35"/>
    </i>
    <i r="2">
      <x v="38"/>
    </i>
    <i r="2">
      <x v="39"/>
    </i>
    <i r="2">
      <x v="46"/>
    </i>
    <i r="2">
      <x v="47"/>
    </i>
    <i r="2">
      <x v="52"/>
    </i>
    <i t="blank">
      <x v="55"/>
    </i>
    <i>
      <x v="56"/>
    </i>
    <i r="1">
      <x/>
      <x/>
    </i>
    <i r="1">
      <x v="1"/>
      <x v="43"/>
    </i>
    <i r="1">
      <x v="2"/>
      <x v="41"/>
    </i>
    <i r="1">
      <x v="3"/>
      <x v="32"/>
    </i>
    <i r="1">
      <x v="4"/>
      <x v="1"/>
    </i>
    <i r="1">
      <x v="5"/>
      <x v="30"/>
    </i>
    <i r="1">
      <x v="6"/>
      <x v="50"/>
    </i>
    <i r="1">
      <x v="7"/>
      <x v="2"/>
    </i>
    <i r="2">
      <x v="31"/>
    </i>
    <i r="1">
      <x v="9"/>
      <x v="46"/>
    </i>
    <i r="1">
      <x v="10"/>
      <x v="48"/>
    </i>
    <i r="1">
      <x v="11"/>
      <x v="14"/>
    </i>
    <i r="2">
      <x v="47"/>
    </i>
    <i r="1">
      <x v="13"/>
      <x v="36"/>
    </i>
    <i r="1">
      <x v="14"/>
      <x v="12"/>
    </i>
    <i r="2">
      <x v="16"/>
    </i>
    <i r="2">
      <x v="26"/>
    </i>
    <i r="2">
      <x v="39"/>
    </i>
    <i r="2">
      <x v="42"/>
    </i>
    <i r="1">
      <x v="19"/>
      <x v="11"/>
    </i>
    <i r="2">
      <x v="13"/>
    </i>
    <i r="2">
      <x v="15"/>
    </i>
    <i r="2">
      <x v="23"/>
    </i>
    <i r="2">
      <x v="28"/>
    </i>
    <i r="2">
      <x v="38"/>
    </i>
    <i r="2">
      <x v="51"/>
    </i>
    <i t="blank">
      <x v="56"/>
    </i>
    <i>
      <x v="57"/>
    </i>
    <i r="1">
      <x/>
      <x v="43"/>
    </i>
    <i r="1">
      <x v="1"/>
      <x v="41"/>
    </i>
    <i r="1">
      <x v="2"/>
      <x/>
    </i>
    <i r="1">
      <x v="3"/>
      <x v="36"/>
    </i>
    <i r="1">
      <x v="4"/>
      <x v="32"/>
    </i>
    <i r="1">
      <x v="5"/>
      <x v="30"/>
    </i>
    <i r="1">
      <x v="6"/>
      <x v="31"/>
    </i>
    <i r="1">
      <x v="7"/>
      <x v="2"/>
    </i>
    <i r="2">
      <x v="48"/>
    </i>
    <i r="1">
      <x v="9"/>
      <x v="1"/>
    </i>
    <i r="2">
      <x v="39"/>
    </i>
    <i r="1">
      <x v="11"/>
      <x v="47"/>
    </i>
    <i r="1">
      <x v="12"/>
      <x v="50"/>
    </i>
    <i r="1">
      <x v="13"/>
      <x v="44"/>
    </i>
    <i r="2">
      <x v="46"/>
    </i>
    <i r="1">
      <x v="15"/>
      <x v="18"/>
    </i>
    <i r="2">
      <x v="28"/>
    </i>
    <i r="1">
      <x v="17"/>
      <x v="3"/>
    </i>
    <i r="2">
      <x v="10"/>
    </i>
    <i r="2">
      <x v="12"/>
    </i>
    <i r="2">
      <x v="13"/>
    </i>
    <i r="2">
      <x v="26"/>
    </i>
    <i r="2">
      <x v="29"/>
    </i>
    <i r="2">
      <x v="33"/>
    </i>
    <i r="2">
      <x v="38"/>
    </i>
    <i r="2">
      <x v="42"/>
    </i>
    <i r="2">
      <x v="45"/>
    </i>
    <i r="2">
      <x v="49"/>
    </i>
    <i t="blank">
      <x v="57"/>
    </i>
    <i>
      <x v="58"/>
    </i>
    <i r="1">
      <x/>
      <x v="43"/>
    </i>
    <i r="1">
      <x v="1"/>
      <x v="1"/>
    </i>
    <i r="1">
      <x v="2"/>
      <x/>
    </i>
    <i r="1">
      <x v="3"/>
      <x v="32"/>
    </i>
    <i r="1">
      <x v="4"/>
      <x v="31"/>
    </i>
    <i r="1">
      <x v="5"/>
      <x v="41"/>
    </i>
    <i r="1">
      <x v="6"/>
      <x v="2"/>
    </i>
    <i r="2">
      <x v="30"/>
    </i>
    <i r="1">
      <x v="8"/>
      <x v="47"/>
    </i>
    <i r="1">
      <x v="9"/>
      <x v="36"/>
    </i>
    <i r="1">
      <x v="10"/>
      <x v="46"/>
    </i>
    <i r="1">
      <x v="11"/>
      <x v="6"/>
    </i>
    <i r="2">
      <x v="26"/>
    </i>
    <i r="2">
      <x v="50"/>
    </i>
    <i r="1">
      <x v="14"/>
      <x v="48"/>
    </i>
    <i r="1">
      <x v="15"/>
      <x v="3"/>
    </i>
    <i r="2">
      <x v="12"/>
    </i>
    <i r="2">
      <x v="25"/>
    </i>
    <i r="2">
      <x v="42"/>
    </i>
    <i r="1">
      <x v="19"/>
      <x v="39"/>
    </i>
    <i t="blank">
      <x v="58"/>
    </i>
    <i>
      <x v="59"/>
    </i>
    <i r="1">
      <x/>
      <x v="32"/>
    </i>
    <i r="1">
      <x v="1"/>
      <x v="10"/>
    </i>
    <i r="1">
      <x v="2"/>
      <x/>
    </i>
    <i r="2">
      <x v="41"/>
    </i>
    <i r="1">
      <x v="4"/>
      <x v="38"/>
    </i>
    <i r="1">
      <x v="5"/>
      <x v="43"/>
    </i>
    <i r="1">
      <x v="6"/>
      <x v="30"/>
    </i>
    <i r="1">
      <x v="7"/>
      <x v="46"/>
    </i>
    <i r="1">
      <x v="8"/>
      <x v="1"/>
    </i>
    <i r="2">
      <x v="6"/>
    </i>
    <i r="2">
      <x v="31"/>
    </i>
    <i r="2">
      <x v="50"/>
    </i>
    <i r="1">
      <x v="12"/>
      <x v="2"/>
    </i>
    <i r="2">
      <x v="3"/>
    </i>
    <i r="2">
      <x v="22"/>
    </i>
    <i r="2">
      <x v="47"/>
    </i>
    <i r="1">
      <x v="16"/>
      <x v="4"/>
    </i>
    <i r="2">
      <x v="7"/>
    </i>
    <i r="2">
      <x v="14"/>
    </i>
    <i r="2">
      <x v="16"/>
    </i>
    <i r="2">
      <x v="19"/>
    </i>
    <i r="2">
      <x v="27"/>
    </i>
    <i r="2">
      <x v="33"/>
    </i>
    <i r="2">
      <x v="42"/>
    </i>
    <i t="blank">
      <x v="59"/>
    </i>
    <i>
      <x v="60"/>
    </i>
    <i r="1">
      <x/>
      <x/>
    </i>
    <i r="1">
      <x v="1"/>
      <x v="43"/>
    </i>
    <i r="1">
      <x v="2"/>
      <x v="30"/>
    </i>
    <i r="1">
      <x v="3"/>
      <x v="50"/>
    </i>
    <i r="1">
      <x v="4"/>
      <x v="32"/>
    </i>
    <i r="1">
      <x v="5"/>
      <x v="2"/>
    </i>
    <i r="2">
      <x v="31"/>
    </i>
    <i r="1">
      <x v="7"/>
      <x v="46"/>
    </i>
    <i r="2">
      <x v="47"/>
    </i>
    <i r="1">
      <x v="9"/>
      <x v="1"/>
    </i>
    <i r="2">
      <x v="41"/>
    </i>
    <i r="1">
      <x v="11"/>
      <x v="23"/>
    </i>
    <i r="2">
      <x v="48"/>
    </i>
    <i r="1">
      <x v="13"/>
      <x v="27"/>
    </i>
    <i r="2">
      <x v="28"/>
    </i>
    <i r="1">
      <x v="15"/>
      <x v="12"/>
    </i>
    <i r="2">
      <x v="25"/>
    </i>
    <i r="2">
      <x v="44"/>
    </i>
    <i r="1">
      <x v="18"/>
      <x v="14"/>
    </i>
    <i r="2">
      <x v="35"/>
    </i>
    <i r="2">
      <x v="53"/>
    </i>
    <i t="blank">
      <x v="60"/>
    </i>
    <i>
      <x v="61"/>
    </i>
    <i r="1">
      <x/>
      <x v="43"/>
    </i>
    <i r="1">
      <x v="1"/>
      <x v="32"/>
    </i>
    <i r="1">
      <x v="2"/>
      <x v="36"/>
    </i>
    <i r="1">
      <x v="3"/>
      <x v="31"/>
    </i>
    <i r="1">
      <x v="4"/>
      <x/>
    </i>
    <i r="1">
      <x v="5"/>
      <x v="1"/>
    </i>
    <i r="2">
      <x v="46"/>
    </i>
    <i r="1">
      <x v="7"/>
      <x v="17"/>
    </i>
    <i r="2">
      <x v="30"/>
    </i>
    <i r="1">
      <x v="9"/>
      <x v="41"/>
    </i>
    <i r="1">
      <x v="10"/>
      <x v="7"/>
    </i>
    <i r="2">
      <x v="47"/>
    </i>
    <i r="1">
      <x v="12"/>
      <x v="2"/>
    </i>
    <i r="2">
      <x v="12"/>
    </i>
    <i r="2">
      <x v="50"/>
    </i>
    <i r="1">
      <x v="15"/>
      <x v="29"/>
    </i>
    <i r="1">
      <x v="16"/>
      <x v="14"/>
    </i>
    <i r="2">
      <x v="28"/>
    </i>
    <i r="2">
      <x v="38"/>
    </i>
    <i r="1">
      <x v="19"/>
      <x v="6"/>
    </i>
    <i r="2">
      <x v="25"/>
    </i>
    <i r="2">
      <x v="26"/>
    </i>
    <i r="2">
      <x v="35"/>
    </i>
    <i t="blank">
      <x v="61"/>
    </i>
    <i>
      <x v="62"/>
    </i>
    <i r="1">
      <x/>
      <x v="43"/>
    </i>
    <i r="1">
      <x v="1"/>
      <x v="32"/>
    </i>
    <i r="1">
      <x v="2"/>
      <x/>
    </i>
    <i r="1">
      <x v="3"/>
      <x v="41"/>
    </i>
    <i r="1">
      <x v="4"/>
      <x v="50"/>
    </i>
    <i r="1">
      <x v="5"/>
      <x v="1"/>
    </i>
    <i r="2">
      <x v="31"/>
    </i>
    <i r="1">
      <x v="7"/>
      <x v="30"/>
    </i>
    <i r="2">
      <x v="36"/>
    </i>
    <i r="1">
      <x v="9"/>
      <x v="5"/>
    </i>
    <i r="1">
      <x v="10"/>
      <x v="47"/>
    </i>
    <i r="1">
      <x v="11"/>
      <x v="46"/>
    </i>
    <i r="1">
      <x v="12"/>
      <x v="2"/>
    </i>
    <i r="1">
      <x v="13"/>
      <x v="26"/>
    </i>
    <i r="2">
      <x v="48"/>
    </i>
    <i r="1">
      <x v="15"/>
      <x v="7"/>
    </i>
    <i r="2">
      <x v="33"/>
    </i>
    <i r="1">
      <x v="17"/>
      <x v="29"/>
    </i>
    <i r="2">
      <x v="39"/>
    </i>
    <i r="1">
      <x v="19"/>
      <x v="4"/>
    </i>
    <i r="2">
      <x v="12"/>
    </i>
    <i r="2">
      <x v="25"/>
    </i>
    <i r="2">
      <x v="27"/>
    </i>
    <i t="blank">
      <x v="62"/>
    </i>
    <i>
      <x v="63"/>
    </i>
    <i r="1">
      <x/>
      <x v="43"/>
    </i>
    <i r="1">
      <x v="1"/>
      <x/>
    </i>
    <i r="1">
      <x v="2"/>
      <x v="30"/>
    </i>
    <i r="1">
      <x v="3"/>
      <x v="32"/>
    </i>
    <i r="1">
      <x v="4"/>
      <x v="41"/>
    </i>
    <i r="1">
      <x v="5"/>
      <x v="50"/>
    </i>
    <i r="1">
      <x v="6"/>
      <x v="1"/>
    </i>
    <i r="2">
      <x v="2"/>
    </i>
    <i r="2">
      <x v="12"/>
    </i>
    <i r="2">
      <x v="48"/>
    </i>
    <i r="1">
      <x v="10"/>
      <x v="10"/>
    </i>
    <i r="2">
      <x v="29"/>
    </i>
    <i r="2">
      <x v="31"/>
    </i>
    <i r="2">
      <x v="39"/>
    </i>
    <i r="2">
      <x v="42"/>
    </i>
    <i r="2">
      <x v="46"/>
    </i>
    <i r="2">
      <x v="47"/>
    </i>
    <i r="1">
      <x v="17"/>
      <x v="26"/>
    </i>
    <i r="1">
      <x v="18"/>
      <x v="36"/>
    </i>
    <i r="1">
      <x v="19"/>
      <x v="3"/>
    </i>
    <i r="2">
      <x v="7"/>
    </i>
    <i r="2">
      <x v="17"/>
    </i>
    <i r="2">
      <x v="27"/>
    </i>
    <i r="2">
      <x v="28"/>
    </i>
    <i r="2">
      <x v="33"/>
    </i>
    <i r="2">
      <x v="35"/>
    </i>
    <i r="2">
      <x v="38"/>
    </i>
    <i r="2">
      <x v="45"/>
    </i>
    <i t="blank">
      <x v="63"/>
    </i>
    <i>
      <x v="64"/>
    </i>
    <i r="1">
      <x/>
      <x/>
    </i>
    <i r="1">
      <x v="1"/>
      <x v="32"/>
    </i>
    <i r="1">
      <x v="2"/>
      <x v="41"/>
    </i>
    <i r="1">
      <x v="3"/>
      <x v="30"/>
    </i>
    <i r="1">
      <x v="4"/>
      <x v="43"/>
    </i>
    <i r="1">
      <x v="5"/>
      <x v="48"/>
    </i>
    <i r="1">
      <x v="6"/>
      <x v="29"/>
    </i>
    <i r="2">
      <x v="31"/>
    </i>
    <i r="1">
      <x v="8"/>
      <x v="2"/>
    </i>
    <i r="2">
      <x v="36"/>
    </i>
    <i r="2">
      <x v="47"/>
    </i>
    <i r="2">
      <x v="52"/>
    </i>
    <i r="1">
      <x v="12"/>
      <x v="39"/>
    </i>
    <i r="1">
      <x v="13"/>
      <x v="1"/>
    </i>
    <i r="2">
      <x v="3"/>
    </i>
    <i r="2">
      <x v="50"/>
    </i>
    <i r="1">
      <x v="16"/>
      <x v="25"/>
    </i>
    <i r="2">
      <x v="42"/>
    </i>
    <i r="1">
      <x v="18"/>
      <x v="6"/>
    </i>
    <i r="2">
      <x v="10"/>
    </i>
    <i r="2">
      <x v="12"/>
    </i>
    <i r="2">
      <x v="17"/>
    </i>
    <i r="2">
      <x v="26"/>
    </i>
    <i r="2">
      <x v="27"/>
    </i>
    <i r="2">
      <x v="44"/>
    </i>
    <i r="2">
      <x v="45"/>
    </i>
    <i t="blank">
      <x v="64"/>
    </i>
    <i>
      <x v="65"/>
    </i>
    <i r="1">
      <x/>
      <x v="43"/>
    </i>
    <i r="1">
      <x v="1"/>
      <x/>
    </i>
    <i r="1">
      <x v="2"/>
      <x v="30"/>
    </i>
    <i r="2">
      <x v="32"/>
    </i>
    <i r="1">
      <x v="4"/>
      <x v="41"/>
    </i>
    <i r="1">
      <x v="5"/>
      <x v="31"/>
    </i>
    <i r="1">
      <x v="6"/>
      <x v="12"/>
    </i>
    <i r="1">
      <x v="7"/>
      <x v="2"/>
    </i>
    <i r="1">
      <x v="8"/>
      <x v="1"/>
    </i>
    <i r="2">
      <x v="29"/>
    </i>
    <i r="2">
      <x v="46"/>
    </i>
    <i r="2">
      <x v="47"/>
    </i>
    <i r="2">
      <x v="48"/>
    </i>
    <i r="2">
      <x v="50"/>
    </i>
    <i r="1">
      <x v="14"/>
      <x v="28"/>
    </i>
    <i r="1">
      <x v="15"/>
      <x v="6"/>
    </i>
    <i r="2">
      <x v="7"/>
    </i>
    <i r="2">
      <x v="8"/>
    </i>
    <i r="2">
      <x v="10"/>
    </i>
    <i r="2">
      <x v="14"/>
    </i>
    <i r="2">
      <x v="19"/>
    </i>
    <i r="2">
      <x v="20"/>
    </i>
    <i r="2">
      <x v="27"/>
    </i>
    <i r="2">
      <x v="35"/>
    </i>
    <i r="2">
      <x v="36"/>
    </i>
    <i r="2">
      <x v="42"/>
    </i>
    <i r="2">
      <x v="44"/>
    </i>
    <i t="blank">
      <x v="65"/>
    </i>
    <i>
      <x v="66"/>
    </i>
    <i r="1">
      <x/>
      <x/>
    </i>
    <i r="2">
      <x v="43"/>
    </i>
    <i r="1">
      <x v="2"/>
      <x v="30"/>
    </i>
    <i r="1">
      <x v="3"/>
      <x v="41"/>
    </i>
    <i r="1">
      <x v="4"/>
      <x v="32"/>
    </i>
    <i r="1">
      <x v="5"/>
      <x v="2"/>
    </i>
    <i r="1">
      <x v="6"/>
      <x v="31"/>
    </i>
    <i r="1">
      <x v="7"/>
      <x v="36"/>
    </i>
    <i r="1">
      <x v="8"/>
      <x v="1"/>
    </i>
    <i r="1">
      <x v="9"/>
      <x v="50"/>
    </i>
    <i r="1">
      <x v="10"/>
      <x v="44"/>
    </i>
    <i r="2">
      <x v="47"/>
    </i>
    <i r="1">
      <x v="12"/>
      <x v="46"/>
    </i>
    <i r="1">
      <x v="13"/>
      <x v="29"/>
    </i>
    <i r="1">
      <x v="14"/>
      <x v="42"/>
    </i>
    <i r="2">
      <x v="48"/>
    </i>
    <i r="1">
      <x v="16"/>
      <x v="7"/>
    </i>
    <i r="2">
      <x v="12"/>
    </i>
    <i r="2">
      <x v="18"/>
    </i>
    <i r="2">
      <x v="27"/>
    </i>
    <i r="2">
      <x v="39"/>
    </i>
    <i t="blank">
      <x v="66"/>
    </i>
    <i>
      <x v="67"/>
    </i>
    <i r="1">
      <x/>
      <x/>
    </i>
    <i r="1">
      <x v="1"/>
      <x v="43"/>
    </i>
    <i r="1">
      <x v="2"/>
      <x v="32"/>
    </i>
    <i r="1">
      <x v="3"/>
      <x v="30"/>
    </i>
    <i r="2">
      <x v="41"/>
    </i>
    <i r="1">
      <x v="5"/>
      <x v="1"/>
    </i>
    <i r="2">
      <x v="31"/>
    </i>
    <i r="2">
      <x v="50"/>
    </i>
    <i r="1">
      <x v="8"/>
      <x v="2"/>
    </i>
    <i r="2">
      <x v="48"/>
    </i>
    <i r="1">
      <x v="10"/>
      <x v="19"/>
    </i>
    <i r="1">
      <x v="11"/>
      <x v="9"/>
    </i>
    <i r="2">
      <x v="12"/>
    </i>
    <i r="2">
      <x v="17"/>
    </i>
    <i r="2">
      <x v="33"/>
    </i>
    <i r="2">
      <x v="35"/>
    </i>
    <i r="2">
      <x v="37"/>
    </i>
    <i r="2">
      <x v="38"/>
    </i>
    <i r="2">
      <x v="42"/>
    </i>
    <i r="2">
      <x v="46"/>
    </i>
    <i r="2">
      <x v="47"/>
    </i>
    <i t="blank">
      <x v="67"/>
    </i>
    <i>
      <x v="68"/>
    </i>
    <i r="1">
      <x/>
      <x/>
    </i>
    <i r="1">
      <x v="1"/>
      <x v="30"/>
    </i>
    <i r="1">
      <x v="2"/>
      <x v="41"/>
    </i>
    <i r="1">
      <x v="3"/>
      <x v="48"/>
    </i>
    <i r="1">
      <x v="4"/>
      <x v="2"/>
    </i>
    <i r="2">
      <x v="32"/>
    </i>
    <i r="1">
      <x v="6"/>
      <x v="31"/>
    </i>
    <i r="2">
      <x v="43"/>
    </i>
    <i r="1">
      <x v="8"/>
      <x v="12"/>
    </i>
    <i r="2">
      <x v="25"/>
    </i>
    <i r="1">
      <x v="10"/>
      <x v="1"/>
    </i>
    <i r="2">
      <x v="3"/>
    </i>
    <i r="2">
      <x v="6"/>
    </i>
    <i r="2">
      <x v="8"/>
    </i>
    <i r="2">
      <x v="10"/>
    </i>
    <i r="2">
      <x v="19"/>
    </i>
    <i r="2">
      <x v="39"/>
    </i>
    <i r="2">
      <x v="40"/>
    </i>
    <i r="2">
      <x v="42"/>
    </i>
    <i r="2">
      <x v="44"/>
    </i>
    <i r="2">
      <x v="45"/>
    </i>
    <i r="2">
      <x v="46"/>
    </i>
    <i r="2">
      <x v="47"/>
    </i>
    <i r="2">
      <x v="49"/>
    </i>
    <i t="blank">
      <x v="68"/>
    </i>
    <i>
      <x v="69"/>
    </i>
    <i r="1">
      <x/>
      <x/>
    </i>
    <i r="1">
      <x v="1"/>
      <x v="32"/>
    </i>
    <i r="1">
      <x v="2"/>
      <x v="43"/>
    </i>
    <i r="1">
      <x v="3"/>
      <x v="30"/>
    </i>
    <i r="1">
      <x v="4"/>
      <x v="41"/>
    </i>
    <i r="1">
      <x v="5"/>
      <x v="2"/>
    </i>
    <i r="1">
      <x v="6"/>
      <x v="1"/>
    </i>
    <i r="2">
      <x v="50"/>
    </i>
    <i r="1">
      <x v="8"/>
      <x v="31"/>
    </i>
    <i r="1">
      <x v="9"/>
      <x v="48"/>
    </i>
    <i r="1">
      <x v="10"/>
      <x v="36"/>
    </i>
    <i r="1">
      <x v="11"/>
      <x v="47"/>
    </i>
    <i r="1">
      <x v="12"/>
      <x v="12"/>
    </i>
    <i r="2">
      <x v="29"/>
    </i>
    <i r="2">
      <x v="33"/>
    </i>
    <i r="2">
      <x v="44"/>
    </i>
    <i r="2">
      <x v="46"/>
    </i>
    <i r="1">
      <x v="17"/>
      <x v="39"/>
    </i>
    <i r="1">
      <x v="18"/>
      <x v="14"/>
    </i>
    <i r="2">
      <x v="17"/>
    </i>
    <i r="2">
      <x v="25"/>
    </i>
    <i r="2">
      <x v="26"/>
    </i>
    <i r="2">
      <x v="27"/>
    </i>
    <i r="2">
      <x v="28"/>
    </i>
    <i r="2">
      <x v="42"/>
    </i>
    <i t="blank">
      <x v="69"/>
    </i>
    <i>
      <x v="70"/>
    </i>
    <i r="1">
      <x/>
      <x v="43"/>
    </i>
    <i r="1">
      <x v="1"/>
      <x v="41"/>
    </i>
    <i r="1">
      <x v="2"/>
      <x/>
    </i>
    <i r="1">
      <x v="3"/>
      <x v="32"/>
    </i>
    <i r="1">
      <x v="4"/>
      <x v="36"/>
    </i>
    <i r="2">
      <x v="46"/>
    </i>
    <i r="1">
      <x v="6"/>
      <x v="30"/>
    </i>
    <i r="1">
      <x v="7"/>
      <x v="2"/>
    </i>
    <i r="1">
      <x v="8"/>
      <x v="31"/>
    </i>
    <i r="1">
      <x v="9"/>
      <x v="47"/>
    </i>
    <i r="1">
      <x v="10"/>
      <x v="26"/>
    </i>
    <i r="2">
      <x v="27"/>
    </i>
    <i r="1">
      <x v="12"/>
      <x v="50"/>
    </i>
    <i r="1">
      <x v="13"/>
      <x v="48"/>
    </i>
    <i r="1">
      <x v="14"/>
      <x v="1"/>
    </i>
    <i r="1">
      <x v="15"/>
      <x v="23"/>
    </i>
    <i r="2">
      <x v="44"/>
    </i>
    <i r="1">
      <x v="17"/>
      <x v="52"/>
    </i>
    <i r="1">
      <x v="18"/>
      <x v="24"/>
    </i>
    <i r="2">
      <x v="35"/>
    </i>
    <i r="2">
      <x v="38"/>
    </i>
    <i r="2">
      <x v="39"/>
    </i>
    <i r="2">
      <x v="45"/>
    </i>
    <i t="blank">
      <x v="70"/>
    </i>
    <i>
      <x v="71"/>
    </i>
    <i r="1">
      <x/>
      <x/>
    </i>
    <i r="1">
      <x v="1"/>
      <x v="43"/>
    </i>
    <i r="1">
      <x v="2"/>
      <x v="30"/>
    </i>
    <i r="1">
      <x v="3"/>
      <x v="41"/>
    </i>
    <i r="1">
      <x v="4"/>
      <x v="32"/>
    </i>
    <i r="2">
      <x v="39"/>
    </i>
    <i r="1">
      <x v="6"/>
      <x v="46"/>
    </i>
    <i r="1">
      <x v="7"/>
      <x v="2"/>
    </i>
    <i r="2">
      <x v="47"/>
    </i>
    <i r="1">
      <x v="9"/>
      <x v="1"/>
    </i>
    <i r="2">
      <x v="31"/>
    </i>
    <i r="1">
      <x v="11"/>
      <x v="48"/>
    </i>
    <i r="1">
      <x v="12"/>
      <x v="42"/>
    </i>
    <i r="2">
      <x v="45"/>
    </i>
    <i r="1">
      <x v="14"/>
      <x v="50"/>
    </i>
    <i r="1">
      <x v="15"/>
      <x v="26"/>
    </i>
    <i r="2">
      <x v="44"/>
    </i>
    <i r="1">
      <x v="17"/>
      <x v="12"/>
    </i>
    <i r="2">
      <x v="29"/>
    </i>
    <i r="1">
      <x v="19"/>
      <x v="6"/>
    </i>
    <i r="2">
      <x v="14"/>
    </i>
    <i t="blank">
      <x v="71"/>
    </i>
    <i>
      <x v="72"/>
    </i>
    <i r="1">
      <x/>
      <x v="43"/>
    </i>
    <i r="1">
      <x v="1"/>
      <x v="36"/>
    </i>
    <i r="1">
      <x v="2"/>
      <x v="2"/>
    </i>
    <i r="1">
      <x v="3"/>
      <x/>
    </i>
    <i r="2">
      <x v="32"/>
    </i>
    <i r="1">
      <x v="5"/>
      <x v="30"/>
    </i>
    <i r="1">
      <x v="6"/>
      <x v="41"/>
    </i>
    <i r="1">
      <x v="7"/>
      <x v="47"/>
    </i>
    <i r="1">
      <x v="8"/>
      <x v="31"/>
    </i>
    <i r="1">
      <x v="9"/>
      <x v="3"/>
    </i>
    <i r="2">
      <x v="5"/>
    </i>
    <i r="2">
      <x v="39"/>
    </i>
    <i r="2">
      <x v="42"/>
    </i>
    <i r="2">
      <x v="44"/>
    </i>
    <i r="2">
      <x v="46"/>
    </i>
    <i r="2">
      <x v="50"/>
    </i>
    <i r="1">
      <x v="16"/>
      <x v="1"/>
    </i>
    <i r="2">
      <x v="6"/>
    </i>
    <i r="2">
      <x v="14"/>
    </i>
    <i r="2">
      <x v="16"/>
    </i>
    <i r="2">
      <x v="22"/>
    </i>
    <i r="2">
      <x v="25"/>
    </i>
    <i r="2">
      <x v="26"/>
    </i>
    <i r="2">
      <x v="27"/>
    </i>
    <i r="2">
      <x v="29"/>
    </i>
    <i r="2">
      <x v="33"/>
    </i>
    <i r="2">
      <x v="34"/>
    </i>
    <i r="2">
      <x v="35"/>
    </i>
    <i r="2">
      <x v="38"/>
    </i>
    <i r="2">
      <x v="48"/>
    </i>
    <i r="2">
      <x v="51"/>
    </i>
    <i t="blank">
      <x v="72"/>
    </i>
    <i>
      <x v="73"/>
    </i>
    <i r="1">
      <x/>
      <x/>
    </i>
    <i r="1">
      <x v="1"/>
      <x v="30"/>
    </i>
    <i r="1">
      <x v="2"/>
      <x v="43"/>
    </i>
    <i r="1">
      <x v="3"/>
      <x v="32"/>
    </i>
    <i r="1">
      <x v="4"/>
      <x v="1"/>
    </i>
    <i r="1">
      <x v="5"/>
      <x v="31"/>
    </i>
    <i r="2">
      <x v="48"/>
    </i>
    <i r="2">
      <x v="50"/>
    </i>
    <i r="1">
      <x v="8"/>
      <x v="2"/>
    </i>
    <i r="1">
      <x v="9"/>
      <x v="28"/>
    </i>
    <i r="2">
      <x v="29"/>
    </i>
    <i r="2">
      <x v="41"/>
    </i>
    <i r="2">
      <x v="51"/>
    </i>
    <i r="1">
      <x v="13"/>
      <x v="35"/>
    </i>
    <i r="2">
      <x v="37"/>
    </i>
    <i r="1">
      <x v="15"/>
      <x v="3"/>
    </i>
    <i r="2">
      <x v="6"/>
    </i>
    <i r="2">
      <x v="10"/>
    </i>
    <i r="2">
      <x v="14"/>
    </i>
    <i r="2">
      <x v="16"/>
    </i>
    <i r="2">
      <x v="24"/>
    </i>
    <i r="2">
      <x v="25"/>
    </i>
    <i r="2">
      <x v="26"/>
    </i>
    <i r="2">
      <x v="33"/>
    </i>
    <i r="2">
      <x v="39"/>
    </i>
    <i r="2">
      <x v="40"/>
    </i>
    <i r="2">
      <x v="42"/>
    </i>
    <i r="2">
      <x v="47"/>
    </i>
    <i r="2">
      <x v="49"/>
    </i>
    <i r="2">
      <x v="52"/>
    </i>
    <i r="2">
      <x v="53"/>
    </i>
    <i t="blank">
      <x v="73"/>
    </i>
    <i>
      <x v="74"/>
    </i>
    <i r="1">
      <x/>
      <x/>
    </i>
    <i r="1">
      <x v="1"/>
      <x v="43"/>
    </i>
    <i r="1">
      <x v="2"/>
      <x v="41"/>
    </i>
    <i r="1">
      <x v="3"/>
      <x v="30"/>
    </i>
    <i r="2">
      <x v="32"/>
    </i>
    <i r="1">
      <x v="5"/>
      <x v="1"/>
    </i>
    <i r="1">
      <x v="6"/>
      <x v="47"/>
    </i>
    <i r="1">
      <x v="7"/>
      <x v="46"/>
    </i>
    <i r="1">
      <x v="8"/>
      <x v="31"/>
    </i>
    <i r="1">
      <x v="9"/>
      <x v="2"/>
    </i>
    <i r="2">
      <x v="36"/>
    </i>
    <i r="1">
      <x v="11"/>
      <x v="48"/>
    </i>
    <i r="1">
      <x v="12"/>
      <x v="50"/>
    </i>
    <i r="1">
      <x v="13"/>
      <x v="26"/>
    </i>
    <i r="2">
      <x v="39"/>
    </i>
    <i r="1">
      <x v="15"/>
      <x v="3"/>
    </i>
    <i r="1">
      <x v="16"/>
      <x v="29"/>
    </i>
    <i r="2">
      <x v="42"/>
    </i>
    <i r="2">
      <x v="44"/>
    </i>
    <i r="1">
      <x v="19"/>
      <x v="8"/>
    </i>
    <i r="2">
      <x v="23"/>
    </i>
    <i r="2">
      <x v="25"/>
    </i>
    <i r="2">
      <x v="28"/>
    </i>
    <i r="2">
      <x v="37"/>
    </i>
    <i r="2">
      <x v="45"/>
    </i>
    <i r="2">
      <x v="49"/>
    </i>
    <i t="blank">
      <x v="7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1083">
      <pivotArea field="2" type="button" dataOnly="0" labelOnly="1" outline="0" axis="axisRow" fieldPosition="0"/>
    </format>
    <format dxfId="1082">
      <pivotArea outline="0" fieldPosition="0">
        <references count="1">
          <reference field="4294967294" count="1">
            <x v="0"/>
          </reference>
        </references>
      </pivotArea>
    </format>
    <format dxfId="1081">
      <pivotArea outline="0" fieldPosition="0">
        <references count="1">
          <reference field="4294967294" count="1">
            <x v="1"/>
          </reference>
        </references>
      </pivotArea>
    </format>
    <format dxfId="1080">
      <pivotArea outline="0" fieldPosition="0">
        <references count="1">
          <reference field="4294967294" count="1">
            <x v="2"/>
          </reference>
        </references>
      </pivotArea>
    </format>
    <format dxfId="1079">
      <pivotArea outline="0" fieldPosition="0">
        <references count="1">
          <reference field="4294967294" count="1">
            <x v="3"/>
          </reference>
        </references>
      </pivotArea>
    </format>
    <format dxfId="1078">
      <pivotArea outline="0" fieldPosition="0">
        <references count="1">
          <reference field="4294967294" count="1">
            <x v="4"/>
          </reference>
        </references>
      </pivotArea>
    </format>
    <format dxfId="1077">
      <pivotArea outline="0" fieldPosition="0">
        <references count="1">
          <reference field="4294967294" count="1">
            <x v="5"/>
          </reference>
        </references>
      </pivotArea>
    </format>
    <format dxfId="1076">
      <pivotArea outline="0" fieldPosition="0">
        <references count="1">
          <reference field="4294967294" count="1">
            <x v="6"/>
          </reference>
        </references>
      </pivotArea>
    </format>
    <format dxfId="1075">
      <pivotArea field="2" type="button" dataOnly="0" labelOnly="1" outline="0" axis="axisRow" fieldPosition="0"/>
    </format>
    <format dxfId="107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73">
      <pivotArea field="2" type="button" dataOnly="0" labelOnly="1" outline="0" axis="axisRow" fieldPosition="0"/>
    </format>
    <format dxfId="107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71">
      <pivotArea field="2" type="button" dataOnly="0" labelOnly="1" outline="0" axis="axisRow" fieldPosition="0"/>
    </format>
    <format dxfId="107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6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6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67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C0CB57-160F-4DEB-9B58-6EAF76107EBF}" name="pvt_S" cacheId="2247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814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75">
        <item x="37"/>
        <item x="41"/>
        <item x="56"/>
        <item x="55"/>
        <item x="51"/>
        <item x="54"/>
        <item x="53"/>
        <item x="52"/>
        <item x="57"/>
        <item x="39"/>
        <item x="18"/>
        <item x="38"/>
        <item x="71"/>
        <item x="70"/>
        <item x="35"/>
        <item x="26"/>
        <item x="60"/>
        <item x="61"/>
        <item x="42"/>
        <item x="33"/>
        <item x="31"/>
        <item x="29"/>
        <item x="44"/>
        <item x="49"/>
        <item x="46"/>
        <item x="45"/>
        <item x="48"/>
        <item x="47"/>
        <item x="50"/>
        <item x="34"/>
        <item x="25"/>
        <item x="17"/>
        <item x="32"/>
        <item x="72"/>
        <item x="73"/>
        <item x="74"/>
        <item x="24"/>
        <item x="30"/>
        <item x="28"/>
        <item x="58"/>
        <item x="59"/>
        <item x="40"/>
        <item x="19"/>
        <item x="63"/>
        <item x="65"/>
        <item x="68"/>
        <item x="66"/>
        <item x="67"/>
        <item x="64"/>
        <item x="69"/>
        <item x="21"/>
        <item x="43"/>
        <item x="62"/>
        <item x="23"/>
        <item x="20"/>
        <item x="0"/>
        <item x="9"/>
        <item x="15"/>
        <item x="14"/>
        <item x="16"/>
        <item x="12"/>
        <item x="10"/>
        <item x="13"/>
        <item x="11"/>
        <item x="36"/>
        <item x="27"/>
        <item x="1"/>
        <item x="4"/>
        <item x="3"/>
        <item x="6"/>
        <item x="5"/>
        <item x="8"/>
        <item x="7"/>
        <item x="2"/>
        <item x="22"/>
      </items>
    </pivotField>
    <pivotField axis="axisRow" showAll="0" insertBlankRow="1" defaultSubtotal="0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</items>
    </pivotField>
    <pivotField showAll="0" defaultSubtotal="0">
      <items count="128">
        <item x="82"/>
        <item x="7"/>
        <item x="114"/>
        <item x="14"/>
        <item x="33"/>
        <item x="32"/>
        <item x="78"/>
        <item x="101"/>
        <item x="110"/>
        <item x="75"/>
        <item x="48"/>
        <item x="49"/>
        <item x="17"/>
        <item x="21"/>
        <item x="67"/>
        <item x="125"/>
        <item x="83"/>
        <item x="69"/>
        <item x="57"/>
        <item x="111"/>
        <item x="62"/>
        <item x="61"/>
        <item x="63"/>
        <item x="56"/>
        <item x="59"/>
        <item x="94"/>
        <item x="84"/>
        <item x="95"/>
        <item x="104"/>
        <item x="118"/>
        <item x="26"/>
        <item x="96"/>
        <item x="53"/>
        <item x="52"/>
        <item x="99"/>
        <item x="55"/>
        <item x="74"/>
        <item x="102"/>
        <item x="115"/>
        <item x="40"/>
        <item x="73"/>
        <item x="70"/>
        <item x="85"/>
        <item x="86"/>
        <item x="87"/>
        <item x="88"/>
        <item x="97"/>
        <item x="37"/>
        <item x="42"/>
        <item x="43"/>
        <item x="80"/>
        <item x="30"/>
        <item x="108"/>
        <item x="39"/>
        <item x="60"/>
        <item x="31"/>
        <item x="112"/>
        <item x="19"/>
        <item x="89"/>
        <item x="119"/>
        <item x="103"/>
        <item x="24"/>
        <item x="109"/>
        <item x="113"/>
        <item x="27"/>
        <item x="23"/>
        <item x="11"/>
        <item x="10"/>
        <item x="54"/>
        <item x="58"/>
        <item x="105"/>
        <item x="8"/>
        <item x="71"/>
        <item x="51"/>
        <item x="116"/>
        <item x="90"/>
        <item x="79"/>
        <item x="12"/>
        <item x="38"/>
        <item x="16"/>
        <item x="13"/>
        <item x="1"/>
        <item x="20"/>
        <item x="35"/>
        <item x="91"/>
        <item x="44"/>
        <item x="47"/>
        <item x="46"/>
        <item x="106"/>
        <item x="41"/>
        <item x="36"/>
        <item x="120"/>
        <item x="15"/>
        <item x="126"/>
        <item x="77"/>
        <item x="121"/>
        <item x="25"/>
        <item x="5"/>
        <item x="76"/>
        <item x="2"/>
        <item x="3"/>
        <item x="22"/>
        <item x="92"/>
        <item x="64"/>
        <item x="28"/>
        <item x="4"/>
        <item x="0"/>
        <item x="45"/>
        <item x="124"/>
        <item x="68"/>
        <item x="81"/>
        <item x="65"/>
        <item x="66"/>
        <item x="9"/>
        <item x="29"/>
        <item x="6"/>
        <item x="122"/>
        <item x="72"/>
        <item x="50"/>
        <item x="100"/>
        <item x="117"/>
        <item x="123"/>
        <item x="18"/>
        <item x="127"/>
        <item x="93"/>
        <item x="98"/>
        <item x="34"/>
        <item x="107"/>
      </items>
    </pivotField>
    <pivotField showAll="0" defaultSubtotal="0">
      <items count="127">
        <item x="105"/>
        <item x="81"/>
        <item x="90"/>
        <item x="95"/>
        <item x="92"/>
        <item x="11"/>
        <item x="87"/>
        <item x="125"/>
        <item x="117"/>
        <item x="93"/>
        <item x="120"/>
        <item x="89"/>
        <item x="49"/>
        <item x="69"/>
        <item x="52"/>
        <item x="124"/>
        <item x="36"/>
        <item x="45"/>
        <item x="63"/>
        <item x="76"/>
        <item x="40"/>
        <item x="78"/>
        <item x="3"/>
        <item x="84"/>
        <item x="8"/>
        <item x="121"/>
        <item x="70"/>
        <item x="73"/>
        <item x="82"/>
        <item x="122"/>
        <item x="94"/>
        <item x="43"/>
        <item x="60"/>
        <item x="58"/>
        <item x="56"/>
        <item x="23"/>
        <item x="85"/>
        <item x="103"/>
        <item x="66"/>
        <item x="123"/>
        <item x="21"/>
        <item x="83"/>
        <item x="54"/>
        <item x="67"/>
        <item x="126"/>
        <item x="22"/>
        <item x="9"/>
        <item x="53"/>
        <item x="96"/>
        <item x="41"/>
        <item x="59"/>
        <item x="26"/>
        <item x="32"/>
        <item x="14"/>
        <item x="42"/>
        <item x="98"/>
        <item x="112"/>
        <item x="47"/>
        <item x="46"/>
        <item x="118"/>
        <item x="101"/>
        <item x="80"/>
        <item x="30"/>
        <item x="91"/>
        <item x="29"/>
        <item x="72"/>
        <item x="99"/>
        <item x="108"/>
        <item x="10"/>
        <item x="18"/>
        <item x="79"/>
        <item x="65"/>
        <item x="27"/>
        <item x="2"/>
        <item x="107"/>
        <item x="119"/>
        <item x="116"/>
        <item x="48"/>
        <item x="100"/>
        <item x="115"/>
        <item x="55"/>
        <item x="111"/>
        <item x="25"/>
        <item x="109"/>
        <item x="37"/>
        <item x="88"/>
        <item x="62"/>
        <item x="5"/>
        <item x="28"/>
        <item x="113"/>
        <item x="86"/>
        <item x="61"/>
        <item x="31"/>
        <item x="34"/>
        <item x="12"/>
        <item x="68"/>
        <item x="74"/>
        <item x="1"/>
        <item x="57"/>
        <item x="20"/>
        <item x="106"/>
        <item x="38"/>
        <item x="39"/>
        <item x="102"/>
        <item x="17"/>
        <item x="75"/>
        <item x="15"/>
        <item x="7"/>
        <item x="104"/>
        <item x="51"/>
        <item x="71"/>
        <item x="97"/>
        <item x="64"/>
        <item x="110"/>
        <item x="0"/>
        <item x="35"/>
        <item x="16"/>
        <item x="13"/>
        <item x="19"/>
        <item x="114"/>
        <item x="44"/>
        <item x="33"/>
        <item x="24"/>
        <item x="4"/>
        <item x="77"/>
        <item x="6"/>
        <item x="50"/>
      </items>
    </pivotField>
    <pivotField axis="axisRow" showAll="0" defaultSubtotal="0">
      <items count="128">
        <item x="82"/>
        <item x="7"/>
        <item x="114"/>
        <item x="14"/>
        <item x="33"/>
        <item x="32"/>
        <item x="78"/>
        <item x="101"/>
        <item x="110"/>
        <item x="75"/>
        <item x="48"/>
        <item x="49"/>
        <item x="17"/>
        <item x="21"/>
        <item x="67"/>
        <item x="125"/>
        <item x="83"/>
        <item x="69"/>
        <item x="57"/>
        <item x="111"/>
        <item x="62"/>
        <item x="61"/>
        <item x="63"/>
        <item x="56"/>
        <item x="59"/>
        <item x="94"/>
        <item x="84"/>
        <item x="95"/>
        <item x="104"/>
        <item x="118"/>
        <item x="26"/>
        <item x="96"/>
        <item x="53"/>
        <item x="52"/>
        <item x="99"/>
        <item x="55"/>
        <item x="74"/>
        <item x="102"/>
        <item x="115"/>
        <item x="40"/>
        <item x="73"/>
        <item x="70"/>
        <item x="85"/>
        <item x="86"/>
        <item x="87"/>
        <item x="88"/>
        <item x="97"/>
        <item x="37"/>
        <item x="42"/>
        <item x="43"/>
        <item x="80"/>
        <item x="30"/>
        <item x="108"/>
        <item x="39"/>
        <item x="60"/>
        <item x="31"/>
        <item x="112"/>
        <item x="19"/>
        <item x="89"/>
        <item x="119"/>
        <item x="103"/>
        <item x="24"/>
        <item x="109"/>
        <item x="113"/>
        <item x="27"/>
        <item x="23"/>
        <item x="11"/>
        <item x="10"/>
        <item x="54"/>
        <item x="58"/>
        <item x="105"/>
        <item x="8"/>
        <item x="71"/>
        <item x="51"/>
        <item x="116"/>
        <item x="90"/>
        <item x="79"/>
        <item x="12"/>
        <item x="38"/>
        <item x="16"/>
        <item x="13"/>
        <item x="1"/>
        <item x="20"/>
        <item x="35"/>
        <item x="91"/>
        <item x="44"/>
        <item x="47"/>
        <item x="46"/>
        <item x="106"/>
        <item x="41"/>
        <item x="36"/>
        <item x="120"/>
        <item x="15"/>
        <item x="126"/>
        <item x="77"/>
        <item x="121"/>
        <item x="25"/>
        <item x="5"/>
        <item x="76"/>
        <item x="2"/>
        <item x="3"/>
        <item x="22"/>
        <item x="92"/>
        <item x="64"/>
        <item x="28"/>
        <item x="4"/>
        <item x="0"/>
        <item x="45"/>
        <item x="124"/>
        <item x="68"/>
        <item x="81"/>
        <item x="65"/>
        <item x="66"/>
        <item x="9"/>
        <item x="29"/>
        <item x="6"/>
        <item x="122"/>
        <item x="72"/>
        <item x="50"/>
        <item x="100"/>
        <item x="117"/>
        <item x="123"/>
        <item x="18"/>
        <item x="127"/>
        <item x="93"/>
        <item x="98"/>
        <item x="34"/>
        <item x="107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247">
        <item x="246"/>
        <item x="245"/>
        <item x="244"/>
        <item x="243"/>
        <item x="242"/>
        <item x="241"/>
        <item x="240"/>
        <item x="239"/>
        <item x="235"/>
        <item x="234"/>
        <item x="233"/>
        <item x="237"/>
        <item x="236"/>
        <item x="230"/>
        <item x="229"/>
        <item x="224"/>
        <item x="78"/>
        <item x="77"/>
        <item x="223"/>
        <item x="76"/>
        <item x="75"/>
        <item x="67"/>
        <item x="66"/>
        <item x="65"/>
        <item x="64"/>
        <item x="74"/>
        <item x="73"/>
        <item x="63"/>
        <item x="55"/>
        <item x="54"/>
        <item x="202"/>
        <item x="72"/>
        <item x="53"/>
        <item x="201"/>
        <item x="62"/>
        <item x="61"/>
        <item x="52"/>
        <item x="60"/>
        <item x="113"/>
        <item x="51"/>
        <item x="59"/>
        <item x="227"/>
        <item x="222"/>
        <item x="50"/>
        <item x="49"/>
        <item x="58"/>
        <item x="112"/>
        <item x="111"/>
        <item x="110"/>
        <item x="109"/>
        <item x="71"/>
        <item x="108"/>
        <item x="48"/>
        <item x="199"/>
        <item x="107"/>
        <item x="47"/>
        <item x="226"/>
        <item x="46"/>
        <item x="45"/>
        <item x="44"/>
        <item x="70"/>
        <item x="156"/>
        <item x="69"/>
        <item x="211"/>
        <item x="155"/>
        <item x="128"/>
        <item x="127"/>
        <item x="43"/>
        <item x="198"/>
        <item x="228"/>
        <item x="210"/>
        <item x="106"/>
        <item x="97"/>
        <item x="209"/>
        <item x="208"/>
        <item x="96"/>
        <item x="42"/>
        <item x="126"/>
        <item x="95"/>
        <item x="94"/>
        <item x="105"/>
        <item x="93"/>
        <item x="92"/>
        <item x="104"/>
        <item x="103"/>
        <item x="57"/>
        <item x="91"/>
        <item x="225"/>
        <item x="197"/>
        <item x="125"/>
        <item x="124"/>
        <item x="154"/>
        <item x="232"/>
        <item x="238"/>
        <item x="123"/>
        <item x="221"/>
        <item x="102"/>
        <item x="195"/>
        <item x="153"/>
        <item x="101"/>
        <item x="220"/>
        <item x="100"/>
        <item x="194"/>
        <item x="152"/>
        <item x="41"/>
        <item x="122"/>
        <item x="56"/>
        <item x="207"/>
        <item x="40"/>
        <item x="90"/>
        <item x="206"/>
        <item x="193"/>
        <item x="68"/>
        <item x="192"/>
        <item x="89"/>
        <item x="88"/>
        <item x="87"/>
        <item x="121"/>
        <item x="120"/>
        <item x="151"/>
        <item x="119"/>
        <item x="219"/>
        <item x="86"/>
        <item x="85"/>
        <item x="170"/>
        <item x="218"/>
        <item x="169"/>
        <item x="205"/>
        <item x="187"/>
        <item x="200"/>
        <item x="191"/>
        <item x="186"/>
        <item x="190"/>
        <item x="196"/>
        <item x="185"/>
        <item x="168"/>
        <item x="84"/>
        <item x="184"/>
        <item x="217"/>
        <item x="167"/>
        <item x="231"/>
        <item x="118"/>
        <item x="183"/>
        <item x="117"/>
        <item x="116"/>
        <item x="204"/>
        <item x="182"/>
        <item x="216"/>
        <item x="215"/>
        <item x="212"/>
        <item x="166"/>
        <item x="181"/>
        <item x="99"/>
        <item x="165"/>
        <item x="214"/>
        <item x="98"/>
        <item x="180"/>
        <item x="179"/>
        <item x="164"/>
        <item x="178"/>
        <item x="83"/>
        <item x="150"/>
        <item x="115"/>
        <item x="163"/>
        <item x="203"/>
        <item x="177"/>
        <item x="82"/>
        <item x="162"/>
        <item x="81"/>
        <item x="161"/>
        <item x="160"/>
        <item x="176"/>
        <item x="189"/>
        <item x="149"/>
        <item x="39"/>
        <item x="38"/>
        <item x="159"/>
        <item x="80"/>
        <item x="37"/>
        <item x="158"/>
        <item x="79"/>
        <item x="114"/>
        <item x="36"/>
        <item x="35"/>
        <item x="175"/>
        <item x="34"/>
        <item x="174"/>
        <item x="33"/>
        <item x="188"/>
        <item x="32"/>
        <item x="31"/>
        <item x="213"/>
        <item x="173"/>
        <item x="30"/>
        <item x="172"/>
        <item x="29"/>
        <item x="148"/>
        <item x="28"/>
        <item x="147"/>
        <item x="171"/>
        <item x="27"/>
        <item x="26"/>
        <item x="146"/>
        <item x="145"/>
        <item x="144"/>
        <item x="143"/>
        <item x="142"/>
        <item x="25"/>
        <item x="141"/>
        <item x="157"/>
        <item x="140"/>
        <item x="24"/>
        <item x="23"/>
        <item x="22"/>
        <item x="139"/>
        <item x="138"/>
        <item x="137"/>
        <item x="136"/>
        <item x="135"/>
        <item x="134"/>
        <item x="21"/>
        <item x="20"/>
        <item x="133"/>
        <item x="132"/>
        <item x="131"/>
        <item x="19"/>
        <item x="18"/>
        <item x="17"/>
        <item x="16"/>
        <item x="130"/>
        <item x="15"/>
        <item x="14"/>
        <item x="129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383">
        <item x="311"/>
        <item x="77"/>
        <item x="303"/>
        <item x="203"/>
        <item x="211"/>
        <item x="321"/>
        <item x="92"/>
        <item x="76"/>
        <item x="62"/>
        <item x="202"/>
        <item x="230"/>
        <item x="91"/>
        <item x="114"/>
        <item x="61"/>
        <item x="134"/>
        <item x="34"/>
        <item x="33"/>
        <item x="210"/>
        <item x="90"/>
        <item x="60"/>
        <item x="46"/>
        <item x="89"/>
        <item x="16"/>
        <item x="88"/>
        <item x="15"/>
        <item x="133"/>
        <item x="75"/>
        <item x="32"/>
        <item x="14"/>
        <item x="87"/>
        <item x="113"/>
        <item x="140"/>
        <item x="102"/>
        <item x="45"/>
        <item x="13"/>
        <item x="112"/>
        <item x="155"/>
        <item x="132"/>
        <item x="164"/>
        <item x="224"/>
        <item x="59"/>
        <item x="31"/>
        <item x="12"/>
        <item x="254"/>
        <item x="131"/>
        <item x="146"/>
        <item x="58"/>
        <item x="186"/>
        <item x="11"/>
        <item x="185"/>
        <item x="30"/>
        <item x="101"/>
        <item x="353"/>
        <item x="74"/>
        <item x="170"/>
        <item x="29"/>
        <item x="28"/>
        <item x="123"/>
        <item x="192"/>
        <item x="73"/>
        <item x="229"/>
        <item x="139"/>
        <item x="299"/>
        <item x="27"/>
        <item x="44"/>
        <item x="163"/>
        <item x="72"/>
        <item x="10"/>
        <item x="154"/>
        <item x="176"/>
        <item x="169"/>
        <item x="184"/>
        <item x="71"/>
        <item x="196"/>
        <item x="9"/>
        <item x="8"/>
        <item x="162"/>
        <item x="111"/>
        <item x="57"/>
        <item x="175"/>
        <item x="168"/>
        <item x="43"/>
        <item x="245"/>
        <item x="145"/>
        <item x="56"/>
        <item x="26"/>
        <item x="233"/>
        <item x="86"/>
        <item x="238"/>
        <item x="55"/>
        <item x="257"/>
        <item x="85"/>
        <item x="130"/>
        <item x="161"/>
        <item x="110"/>
        <item x="54"/>
        <item x="183"/>
        <item x="253"/>
        <item x="25"/>
        <item x="109"/>
        <item x="160"/>
        <item x="201"/>
        <item x="24"/>
        <item x="138"/>
        <item x="70"/>
        <item x="262"/>
        <item x="100"/>
        <item x="209"/>
        <item x="153"/>
        <item x="84"/>
        <item x="53"/>
        <item x="23"/>
        <item x="83"/>
        <item x="182"/>
        <item x="22"/>
        <item x="7"/>
        <item x="129"/>
        <item x="108"/>
        <item x="208"/>
        <item x="99"/>
        <item x="6"/>
        <item x="277"/>
        <item x="98"/>
        <item x="122"/>
        <item x="69"/>
        <item x="121"/>
        <item x="52"/>
        <item x="174"/>
        <item x="97"/>
        <item x="107"/>
        <item x="144"/>
        <item x="68"/>
        <item x="51"/>
        <item x="42"/>
        <item x="120"/>
        <item x="191"/>
        <item x="200"/>
        <item x="50"/>
        <item x="190"/>
        <item x="276"/>
        <item x="5"/>
        <item x="41"/>
        <item x="207"/>
        <item x="218"/>
        <item x="298"/>
        <item x="4"/>
        <item x="40"/>
        <item x="280"/>
        <item x="152"/>
        <item x="284"/>
        <item x="39"/>
        <item x="261"/>
        <item x="252"/>
        <item x="3"/>
        <item x="248"/>
        <item x="2"/>
        <item x="167"/>
        <item x="275"/>
        <item x="96"/>
        <item x="159"/>
        <item x="181"/>
        <item x="232"/>
        <item x="244"/>
        <item x="137"/>
        <item x="143"/>
        <item x="297"/>
        <item x="21"/>
        <item x="243"/>
        <item x="20"/>
        <item x="106"/>
        <item x="223"/>
        <item x="195"/>
        <item x="349"/>
        <item x="158"/>
        <item x="217"/>
        <item x="19"/>
        <item x="180"/>
        <item x="142"/>
        <item x="95"/>
        <item x="294"/>
        <item x="228"/>
        <item x="67"/>
        <item x="360"/>
        <item x="38"/>
        <item x="288"/>
        <item x="312"/>
        <item x="324"/>
        <item x="237"/>
        <item x="216"/>
        <item x="49"/>
        <item x="199"/>
        <item x="105"/>
        <item x="242"/>
        <item x="128"/>
        <item x="206"/>
        <item x="215"/>
        <item x="189"/>
        <item x="222"/>
        <item x="236"/>
        <item x="127"/>
        <item x="268"/>
        <item x="283"/>
        <item x="302"/>
        <item x="328"/>
        <item x="119"/>
        <item x="126"/>
        <item x="221"/>
        <item x="227"/>
        <item x="66"/>
        <item x="118"/>
        <item x="37"/>
        <item x="117"/>
        <item x="274"/>
        <item x="205"/>
        <item x="287"/>
        <item x="220"/>
        <item x="271"/>
        <item x="194"/>
        <item x="348"/>
        <item x="343"/>
        <item x="301"/>
        <item x="352"/>
        <item x="251"/>
        <item x="173"/>
        <item x="82"/>
        <item x="323"/>
        <item x="380"/>
        <item x="260"/>
        <item x="179"/>
        <item x="265"/>
        <item x="151"/>
        <item x="214"/>
        <item x="327"/>
        <item x="320"/>
        <item x="279"/>
        <item x="364"/>
        <item x="150"/>
        <item x="296"/>
        <item x="347"/>
        <item x="332"/>
        <item x="282"/>
        <item x="198"/>
        <item x="295"/>
        <item x="273"/>
        <item x="241"/>
        <item x="226"/>
        <item x="81"/>
        <item x="80"/>
        <item x="317"/>
        <item x="367"/>
        <item x="382"/>
        <item x="65"/>
        <item x="370"/>
        <item x="309"/>
        <item x="1"/>
        <item x="149"/>
        <item x="334"/>
        <item x="267"/>
        <item x="64"/>
        <item x="338"/>
        <item x="286"/>
        <item x="307"/>
        <item x="375"/>
        <item x="272"/>
        <item x="104"/>
        <item x="116"/>
        <item x="125"/>
        <item x="247"/>
        <item x="270"/>
        <item x="346"/>
        <item x="378"/>
        <item x="291"/>
        <item x="213"/>
        <item x="379"/>
        <item x="178"/>
        <item x="124"/>
        <item x="331"/>
        <item x="316"/>
        <item x="166"/>
        <item x="337"/>
        <item x="285"/>
        <item x="308"/>
        <item x="103"/>
        <item x="48"/>
        <item x="148"/>
        <item x="304"/>
        <item x="136"/>
        <item x="293"/>
        <item x="36"/>
        <item x="326"/>
        <item x="264"/>
        <item x="315"/>
        <item x="79"/>
        <item x="359"/>
        <item x="259"/>
        <item x="35"/>
        <item x="0"/>
        <item x="147"/>
        <item x="157"/>
        <item x="345"/>
        <item x="336"/>
        <item x="278"/>
        <item x="290"/>
        <item x="225"/>
        <item x="18"/>
        <item x="165"/>
        <item x="354"/>
        <item x="78"/>
        <item x="305"/>
        <item x="363"/>
        <item x="188"/>
        <item x="17"/>
        <item x="219"/>
        <item x="351"/>
        <item x="250"/>
        <item x="281"/>
        <item x="356"/>
        <item x="325"/>
        <item x="94"/>
        <item x="374"/>
        <item x="256"/>
        <item x="193"/>
        <item x="341"/>
        <item x="350"/>
        <item x="135"/>
        <item x="177"/>
        <item x="93"/>
        <item x="258"/>
        <item x="372"/>
        <item x="314"/>
        <item x="342"/>
        <item x="310"/>
        <item x="141"/>
        <item x="358"/>
        <item x="289"/>
        <item x="197"/>
        <item x="240"/>
        <item x="47"/>
        <item x="300"/>
        <item x="115"/>
        <item x="204"/>
        <item x="239"/>
        <item x="231"/>
        <item x="266"/>
        <item x="319"/>
        <item x="187"/>
        <item x="263"/>
        <item x="344"/>
        <item x="355"/>
        <item x="357"/>
        <item x="249"/>
        <item x="322"/>
        <item x="366"/>
        <item x="306"/>
        <item x="269"/>
        <item x="156"/>
        <item x="255"/>
        <item x="172"/>
        <item x="246"/>
        <item x="362"/>
        <item x="330"/>
        <item x="292"/>
        <item x="235"/>
        <item x="63"/>
        <item x="335"/>
        <item x="212"/>
        <item x="171"/>
        <item x="313"/>
        <item x="318"/>
        <item x="377"/>
        <item x="361"/>
        <item x="369"/>
        <item x="373"/>
        <item x="333"/>
        <item x="371"/>
        <item x="376"/>
        <item x="329"/>
        <item x="381"/>
        <item x="234"/>
        <item x="340"/>
        <item x="368"/>
        <item x="365"/>
        <item x="339"/>
      </items>
    </pivotField>
    <pivotField dataField="1" showAll="0" defaultSubtotal="0">
      <items count="187">
        <item x="162"/>
        <item x="140"/>
        <item x="77"/>
        <item x="59"/>
        <item x="67"/>
        <item x="49"/>
        <item x="68"/>
        <item x="47"/>
        <item x="76"/>
        <item x="50"/>
        <item x="80"/>
        <item x="97"/>
        <item x="66"/>
        <item x="55"/>
        <item x="96"/>
        <item x="62"/>
        <item x="78"/>
        <item x="79"/>
        <item x="73"/>
        <item x="53"/>
        <item x="69"/>
        <item x="135"/>
        <item x="75"/>
        <item x="147"/>
        <item x="74"/>
        <item x="56"/>
        <item x="52"/>
        <item x="54"/>
        <item x="63"/>
        <item x="65"/>
        <item x="128"/>
        <item x="180"/>
        <item x="103"/>
        <item x="64"/>
        <item x="126"/>
        <item x="87"/>
        <item x="51"/>
        <item x="102"/>
        <item x="101"/>
        <item x="34"/>
        <item x="160"/>
        <item x="48"/>
        <item x="61"/>
        <item x="98"/>
        <item x="60"/>
        <item x="43"/>
        <item x="170"/>
        <item x="134"/>
        <item x="72"/>
        <item x="133"/>
        <item x="46"/>
        <item x="112"/>
        <item x="44"/>
        <item x="45"/>
        <item x="58"/>
        <item x="71"/>
        <item x="39"/>
        <item x="38"/>
        <item x="138"/>
        <item x="35"/>
        <item x="89"/>
        <item x="132"/>
        <item x="167"/>
        <item x="100"/>
        <item x="90"/>
        <item x="30"/>
        <item x="111"/>
        <item x="110"/>
        <item x="41"/>
        <item x="91"/>
        <item x="99"/>
        <item x="184"/>
        <item x="109"/>
        <item x="179"/>
        <item x="42"/>
        <item x="166"/>
        <item x="108"/>
        <item x="70"/>
        <item x="178"/>
        <item x="95"/>
        <item x="159"/>
        <item x="182"/>
        <item x="32"/>
        <item x="185"/>
        <item x="186"/>
        <item x="165"/>
        <item x="130"/>
        <item x="94"/>
        <item x="40"/>
        <item x="131"/>
        <item x="86"/>
        <item x="57"/>
        <item x="156"/>
        <item x="157"/>
        <item x="177"/>
        <item x="104"/>
        <item x="181"/>
        <item x="149"/>
        <item x="107"/>
        <item x="121"/>
        <item x="158"/>
        <item x="164"/>
        <item x="142"/>
        <item x="176"/>
        <item x="88"/>
        <item x="150"/>
        <item x="92"/>
        <item x="183"/>
        <item x="161"/>
        <item x="163"/>
        <item x="155"/>
        <item x="153"/>
        <item x="124"/>
        <item x="152"/>
        <item x="141"/>
        <item x="81"/>
        <item x="169"/>
        <item x="26"/>
        <item x="151"/>
        <item x="174"/>
        <item x="106"/>
        <item x="37"/>
        <item x="93"/>
        <item x="139"/>
        <item x="175"/>
        <item x="105"/>
        <item x="119"/>
        <item x="168"/>
        <item x="129"/>
        <item x="84"/>
        <item x="146"/>
        <item x="85"/>
        <item x="36"/>
        <item x="173"/>
        <item x="125"/>
        <item x="148"/>
        <item x="172"/>
        <item x="154"/>
        <item x="83"/>
        <item x="82"/>
        <item x="137"/>
        <item x="14"/>
        <item x="13"/>
        <item x="127"/>
        <item x="33"/>
        <item x="31"/>
        <item x="29"/>
        <item x="145"/>
        <item x="28"/>
        <item x="16"/>
        <item x="123"/>
        <item x="144"/>
        <item x="143"/>
        <item x="171"/>
        <item x="17"/>
        <item x="27"/>
        <item x="7"/>
        <item x="25"/>
        <item x="113"/>
        <item x="136"/>
        <item x="15"/>
        <item x="120"/>
        <item x="24"/>
        <item x="23"/>
        <item x="22"/>
        <item x="21"/>
        <item x="122"/>
        <item x="8"/>
        <item x="19"/>
        <item x="118"/>
        <item x="117"/>
        <item x="20"/>
        <item x="116"/>
        <item x="115"/>
        <item x="18"/>
        <item x="10"/>
        <item x="114"/>
        <item x="11"/>
        <item x="12"/>
        <item x="9"/>
        <item x="1"/>
        <item x="6"/>
        <item x="5"/>
        <item x="2"/>
        <item x="3"/>
        <item x="4"/>
        <item x="0"/>
      </items>
    </pivotField>
    <pivotField dataField="1" showAll="0" defaultSubtotal="0">
      <items count="575">
        <item x="236"/>
        <item x="181"/>
        <item x="92"/>
        <item x="291"/>
        <item x="94"/>
        <item x="322"/>
        <item x="446"/>
        <item x="179"/>
        <item x="115"/>
        <item x="164"/>
        <item x="97"/>
        <item x="159"/>
        <item x="161"/>
        <item x="79"/>
        <item x="219"/>
        <item x="162"/>
        <item x="208"/>
        <item x="279"/>
        <item x="175"/>
        <item x="195"/>
        <item x="211"/>
        <item x="129"/>
        <item x="57"/>
        <item x="386"/>
        <item x="33"/>
        <item x="78"/>
        <item x="113"/>
        <item x="476"/>
        <item x="197"/>
        <item x="46"/>
        <item x="147"/>
        <item x="66"/>
        <item x="422"/>
        <item x="142"/>
        <item x="535"/>
        <item x="210"/>
        <item x="182"/>
        <item x="14"/>
        <item x="13"/>
        <item x="127"/>
        <item x="34"/>
        <item x="278"/>
        <item x="183"/>
        <item x="44"/>
        <item x="30"/>
        <item x="16"/>
        <item x="238"/>
        <item x="319"/>
        <item x="130"/>
        <item x="98"/>
        <item x="145"/>
        <item x="67"/>
        <item x="154"/>
        <item x="414"/>
        <item x="114"/>
        <item x="506"/>
        <item x="234"/>
        <item x="77"/>
        <item x="383"/>
        <item x="47"/>
        <item x="105"/>
        <item x="156"/>
        <item x="60"/>
        <item x="17"/>
        <item x="7"/>
        <item x="390"/>
        <item x="229"/>
        <item x="224"/>
        <item x="542"/>
        <item x="380"/>
        <item x="90"/>
        <item x="426"/>
        <item x="109"/>
        <item x="283"/>
        <item x="139"/>
        <item x="190"/>
        <item x="347"/>
        <item x="101"/>
        <item x="15"/>
        <item x="269"/>
        <item x="158"/>
        <item x="451"/>
        <item x="221"/>
        <item x="300"/>
        <item x="207"/>
        <item x="500"/>
        <item x="268"/>
        <item x="434"/>
        <item x="174"/>
        <item x="52"/>
        <item x="458"/>
        <item x="323"/>
        <item x="529"/>
        <item x="277"/>
        <item x="288"/>
        <item x="352"/>
        <item x="346"/>
        <item x="312"/>
        <item x="247"/>
        <item x="441"/>
        <item x="82"/>
        <item x="8"/>
        <item x="397"/>
        <item x="235"/>
        <item x="303"/>
        <item x="89"/>
        <item x="106"/>
        <item x="299"/>
        <item x="328"/>
        <item x="192"/>
        <item x="574"/>
        <item x="222"/>
        <item x="19"/>
        <item x="160"/>
        <item x="457"/>
        <item x="417"/>
        <item x="107"/>
        <item x="333"/>
        <item x="271"/>
        <item x="26"/>
        <item x="508"/>
        <item x="267"/>
        <item x="366"/>
        <item x="292"/>
        <item x="452"/>
        <item x="256"/>
        <item x="131"/>
        <item x="36"/>
        <item x="254"/>
        <item x="416"/>
        <item x="478"/>
        <item x="263"/>
        <item x="324"/>
        <item x="50"/>
        <item x="359"/>
        <item x="336"/>
        <item x="389"/>
        <item x="403"/>
        <item x="230"/>
        <item x="246"/>
        <item x="313"/>
        <item x="61"/>
        <item x="418"/>
        <item x="306"/>
        <item x="439"/>
        <item x="318"/>
        <item x="447"/>
        <item x="189"/>
        <item x="376"/>
        <item x="173"/>
        <item x="35"/>
        <item x="72"/>
        <item x="126"/>
        <item x="314"/>
        <item x="237"/>
        <item x="438"/>
        <item x="340"/>
        <item x="325"/>
        <item x="146"/>
        <item x="307"/>
        <item x="124"/>
        <item x="80"/>
        <item x="473"/>
        <item x="233"/>
        <item x="91"/>
        <item x="493"/>
        <item x="440"/>
        <item x="357"/>
        <item x="163"/>
        <item x="375"/>
        <item x="81"/>
        <item x="212"/>
        <item x="93"/>
        <item x="53"/>
        <item x="531"/>
        <item x="280"/>
        <item x="178"/>
        <item x="266"/>
        <item x="334"/>
        <item x="202"/>
        <item x="49"/>
        <item x="74"/>
        <item x="428"/>
        <item x="571"/>
        <item x="112"/>
        <item x="290"/>
        <item x="18"/>
        <item x="51"/>
        <item x="365"/>
        <item x="298"/>
        <item x="353"/>
        <item x="185"/>
        <item x="539"/>
        <item x="95"/>
        <item x="477"/>
        <item x="157"/>
        <item x="335"/>
        <item x="412"/>
        <item x="515"/>
        <item x="255"/>
        <item x="10"/>
        <item x="499"/>
        <item x="144"/>
        <item x="329"/>
        <item x="369"/>
        <item x="472"/>
        <item x="143"/>
        <item x="96"/>
        <item x="11"/>
        <item x="245"/>
        <item x="276"/>
        <item x="12"/>
        <item x="125"/>
        <item x="332"/>
        <item x="252"/>
        <item x="111"/>
        <item x="358"/>
        <item x="429"/>
        <item x="444"/>
        <item x="573"/>
        <item x="116"/>
        <item x="76"/>
        <item x="128"/>
        <item x="305"/>
        <item x="344"/>
        <item x="487"/>
        <item x="265"/>
        <item x="460"/>
        <item x="141"/>
        <item x="469"/>
        <item x="32"/>
        <item x="498"/>
        <item x="437"/>
        <item x="63"/>
        <item x="194"/>
        <item x="104"/>
        <item x="172"/>
        <item x="453"/>
        <item x="31"/>
        <item x="367"/>
        <item x="75"/>
        <item x="110"/>
        <item x="214"/>
        <item x="345"/>
        <item x="88"/>
        <item x="29"/>
        <item x="258"/>
        <item x="140"/>
        <item x="171"/>
        <item x="9"/>
        <item x="48"/>
        <item x="28"/>
        <item x="467"/>
        <item x="287"/>
        <item x="264"/>
        <item x="456"/>
        <item x="523"/>
        <item x="368"/>
        <item x="483"/>
        <item x="480"/>
        <item x="391"/>
        <item x="62"/>
        <item x="550"/>
        <item x="321"/>
        <item x="374"/>
        <item x="289"/>
        <item x="356"/>
        <item x="507"/>
        <item x="423"/>
        <item x="65"/>
        <item x="311"/>
        <item x="148"/>
        <item x="396"/>
        <item x="364"/>
        <item x="297"/>
        <item x="320"/>
        <item x="223"/>
        <item x="528"/>
        <item x="253"/>
        <item x="450"/>
        <item x="275"/>
        <item x="382"/>
        <item x="232"/>
        <item x="395"/>
        <item x="45"/>
        <item x="415"/>
        <item x="351"/>
        <item x="522"/>
        <item x="401"/>
        <item x="218"/>
        <item x="73"/>
        <item x="572"/>
        <item x="331"/>
        <item x="1"/>
        <item x="561"/>
        <item x="413"/>
        <item x="514"/>
        <item x="138"/>
        <item x="87"/>
        <item x="155"/>
        <item x="445"/>
        <item x="64"/>
        <item x="363"/>
        <item x="302"/>
        <item x="123"/>
        <item x="198"/>
        <item x="165"/>
        <item x="209"/>
        <item x="497"/>
        <item x="40"/>
        <item x="521"/>
        <item x="471"/>
        <item x="436"/>
        <item x="455"/>
        <item x="479"/>
        <item x="261"/>
        <item x="133"/>
        <item x="408"/>
        <item x="387"/>
        <item x="317"/>
        <item x="122"/>
        <item x="27"/>
        <item x="220"/>
        <item x="562"/>
        <item x="244"/>
        <item x="431"/>
        <item x="196"/>
        <item x="486"/>
        <item x="121"/>
        <item x="286"/>
        <item x="342"/>
        <item x="137"/>
        <item x="260"/>
        <item x="25"/>
        <item x="108"/>
        <item x="330"/>
        <item x="184"/>
        <item x="490"/>
        <item x="231"/>
        <item x="464"/>
        <item x="6"/>
        <item x="285"/>
        <item x="475"/>
        <item x="5"/>
        <item x="341"/>
        <item x="381"/>
        <item x="310"/>
        <item x="274"/>
        <item x="427"/>
        <item x="435"/>
        <item x="470"/>
        <item x="42"/>
        <item x="373"/>
        <item x="251"/>
        <item x="262"/>
        <item x="43"/>
        <item x="496"/>
        <item x="343"/>
        <item x="350"/>
        <item x="388"/>
        <item x="459"/>
        <item x="204"/>
        <item x="474"/>
        <item x="59"/>
        <item x="205"/>
        <item x="362"/>
        <item x="216"/>
        <item x="394"/>
        <item x="544"/>
        <item x="120"/>
        <item x="513"/>
        <item x="570"/>
        <item x="243"/>
        <item x="191"/>
        <item x="407"/>
        <item x="399"/>
        <item x="449"/>
        <item x="296"/>
        <item x="304"/>
        <item x="538"/>
        <item x="58"/>
        <item x="242"/>
        <item x="153"/>
        <item x="2"/>
        <item x="443"/>
        <item x="404"/>
        <item x="206"/>
        <item x="55"/>
        <item x="349"/>
        <item x="393"/>
        <item x="3"/>
        <item x="24"/>
        <item x="4"/>
        <item x="193"/>
        <item x="489"/>
        <item x="309"/>
        <item x="462"/>
        <item x="379"/>
        <item x="259"/>
        <item x="103"/>
        <item x="250"/>
        <item x="534"/>
        <item x="556"/>
        <item x="203"/>
        <item x="485"/>
        <item x="406"/>
        <item x="71"/>
        <item x="119"/>
        <item x="411"/>
        <item x="217"/>
        <item x="41"/>
        <item x="468"/>
        <item x="284"/>
        <item x="421"/>
        <item x="526"/>
        <item x="402"/>
        <item x="532"/>
        <item x="295"/>
        <item x="23"/>
        <item x="22"/>
        <item x="316"/>
        <item x="372"/>
        <item x="38"/>
        <item x="21"/>
        <item x="168"/>
        <item x="463"/>
        <item x="215"/>
        <item x="546"/>
        <item x="273"/>
        <item x="70"/>
        <item x="241"/>
        <item x="136"/>
        <item x="170"/>
        <item x="400"/>
        <item x="169"/>
        <item x="167"/>
        <item x="56"/>
        <item x="567"/>
        <item x="102"/>
        <item x="481"/>
        <item x="134"/>
        <item x="201"/>
        <item x="180"/>
        <item x="549"/>
        <item x="152"/>
        <item x="272"/>
        <item x="199"/>
        <item x="410"/>
        <item x="355"/>
        <item x="39"/>
        <item x="135"/>
        <item x="502"/>
        <item x="420"/>
        <item x="518"/>
        <item x="433"/>
        <item x="377"/>
        <item x="569"/>
        <item x="495"/>
        <item x="339"/>
        <item x="228"/>
        <item x="85"/>
        <item x="558"/>
        <item x="484"/>
        <item x="69"/>
        <item x="505"/>
        <item x="533"/>
        <item x="118"/>
        <item x="465"/>
        <item x="520"/>
        <item x="86"/>
        <item x="227"/>
        <item x="282"/>
        <item x="240"/>
        <item x="371"/>
        <item x="552"/>
        <item x="294"/>
        <item x="560"/>
        <item x="419"/>
        <item x="308"/>
        <item x="517"/>
        <item x="519"/>
        <item x="151"/>
        <item x="448"/>
        <item x="568"/>
        <item x="432"/>
        <item x="566"/>
        <item x="150"/>
        <item x="527"/>
        <item x="117"/>
        <item x="512"/>
        <item x="492"/>
        <item x="225"/>
        <item x="488"/>
        <item x="482"/>
        <item x="565"/>
        <item x="536"/>
        <item x="504"/>
        <item x="543"/>
        <item x="301"/>
        <item x="37"/>
        <item x="99"/>
        <item x="541"/>
        <item x="84"/>
        <item x="454"/>
        <item x="249"/>
        <item x="360"/>
        <item x="537"/>
        <item x="503"/>
        <item x="409"/>
        <item x="188"/>
        <item x="337"/>
        <item x="83"/>
        <item x="551"/>
        <item x="548"/>
        <item x="385"/>
        <item x="511"/>
        <item x="361"/>
        <item x="530"/>
        <item x="555"/>
        <item x="187"/>
        <item x="378"/>
        <item x="540"/>
        <item x="177"/>
        <item x="315"/>
        <item x="0"/>
        <item x="559"/>
        <item x="149"/>
        <item x="442"/>
        <item x="186"/>
        <item x="510"/>
        <item x="20"/>
        <item x="338"/>
        <item x="257"/>
        <item x="466"/>
        <item x="405"/>
        <item x="494"/>
        <item x="398"/>
        <item x="248"/>
        <item x="68"/>
        <item x="239"/>
        <item x="384"/>
        <item x="370"/>
        <item x="200"/>
        <item x="281"/>
        <item x="425"/>
        <item x="213"/>
        <item x="270"/>
        <item x="100"/>
        <item x="166"/>
        <item x="564"/>
        <item x="132"/>
        <item x="354"/>
        <item x="327"/>
        <item x="424"/>
        <item x="54"/>
        <item x="547"/>
        <item x="545"/>
        <item x="430"/>
        <item x="293"/>
        <item x="348"/>
        <item x="461"/>
        <item x="501"/>
        <item x="516"/>
        <item x="491"/>
        <item x="392"/>
        <item x="557"/>
        <item x="554"/>
        <item x="226"/>
        <item x="326"/>
        <item x="553"/>
        <item x="509"/>
        <item x="563"/>
        <item x="524"/>
        <item x="176"/>
        <item x="525"/>
      </items>
    </pivotField>
    <pivotField dataField="1" showAll="0" defaultSubtotal="0">
      <items count="169">
        <item x="42"/>
        <item x="60"/>
        <item x="44"/>
        <item x="51"/>
        <item x="58"/>
        <item x="46"/>
        <item x="55"/>
        <item x="45"/>
        <item x="52"/>
        <item x="59"/>
        <item x="57"/>
        <item x="64"/>
        <item x="48"/>
        <item x="76"/>
        <item x="53"/>
        <item x="40"/>
        <item x="67"/>
        <item x="56"/>
        <item x="54"/>
        <item x="23"/>
        <item x="90"/>
        <item x="65"/>
        <item x="43"/>
        <item x="63"/>
        <item x="78"/>
        <item x="94"/>
        <item x="22"/>
        <item x="99"/>
        <item x="123"/>
        <item x="97"/>
        <item x="83"/>
        <item x="122"/>
        <item x="93"/>
        <item x="153"/>
        <item x="62"/>
        <item x="50"/>
        <item x="91"/>
        <item x="66"/>
        <item x="159"/>
        <item x="111"/>
        <item x="49"/>
        <item x="41"/>
        <item x="85"/>
        <item x="61"/>
        <item x="166"/>
        <item x="167"/>
        <item x="92"/>
        <item x="124"/>
        <item x="161"/>
        <item x="47"/>
        <item x="126"/>
        <item x="157"/>
        <item x="168"/>
        <item x="127"/>
        <item x="70"/>
        <item x="72"/>
        <item x="24"/>
        <item x="125"/>
        <item x="69"/>
        <item x="101"/>
        <item x="88"/>
        <item x="71"/>
        <item x="87"/>
        <item x="89"/>
        <item x="27"/>
        <item x="81"/>
        <item x="75"/>
        <item x="139"/>
        <item x="79"/>
        <item x="33"/>
        <item x="142"/>
        <item x="86"/>
        <item x="80"/>
        <item x="132"/>
        <item x="82"/>
        <item x="31"/>
        <item x="77"/>
        <item x="155"/>
        <item x="165"/>
        <item x="156"/>
        <item x="100"/>
        <item x="98"/>
        <item x="160"/>
        <item x="84"/>
        <item x="96"/>
        <item x="154"/>
        <item x="128"/>
        <item x="74"/>
        <item x="73"/>
        <item x="147"/>
        <item x="158"/>
        <item x="141"/>
        <item x="163"/>
        <item x="25"/>
        <item x="4"/>
        <item x="164"/>
        <item x="95"/>
        <item x="138"/>
        <item x="140"/>
        <item x="162"/>
        <item x="151"/>
        <item x="37"/>
        <item x="36"/>
        <item x="150"/>
        <item x="149"/>
        <item x="29"/>
        <item x="28"/>
        <item x="137"/>
        <item x="106"/>
        <item x="20"/>
        <item x="148"/>
        <item x="146"/>
        <item x="68"/>
        <item x="104"/>
        <item x="136"/>
        <item x="121"/>
        <item x="145"/>
        <item x="134"/>
        <item x="3"/>
        <item x="135"/>
        <item x="144"/>
        <item x="118"/>
        <item x="39"/>
        <item x="38"/>
        <item x="152"/>
        <item x="129"/>
        <item x="131"/>
        <item x="133"/>
        <item x="109"/>
        <item x="112"/>
        <item x="130"/>
        <item x="105"/>
        <item x="32"/>
        <item x="143"/>
        <item x="35"/>
        <item x="103"/>
        <item x="2"/>
        <item x="34"/>
        <item x="18"/>
        <item x="115"/>
        <item x="26"/>
        <item x="6"/>
        <item x="30"/>
        <item x="113"/>
        <item x="120"/>
        <item x="119"/>
        <item x="117"/>
        <item x="9"/>
        <item x="116"/>
        <item x="114"/>
        <item x="21"/>
        <item x="5"/>
        <item x="108"/>
        <item x="12"/>
        <item x="110"/>
        <item x="0"/>
        <item x="11"/>
        <item x="10"/>
        <item x="107"/>
        <item x="19"/>
        <item x="15"/>
        <item x="17"/>
        <item x="16"/>
        <item x="102"/>
        <item x="8"/>
        <item x="14"/>
        <item x="13"/>
        <item x="7"/>
        <item x="1"/>
      </items>
    </pivotField>
    <pivotField dataField="1" showAll="0" defaultSubtotal="0">
      <items count="442">
        <item x="42"/>
        <item x="216"/>
        <item x="177"/>
        <item x="209"/>
        <item x="57"/>
        <item x="91"/>
        <item x="114"/>
        <item x="82"/>
        <item x="137"/>
        <item x="23"/>
        <item x="96"/>
        <item x="44"/>
        <item x="4"/>
        <item x="58"/>
        <item x="22"/>
        <item x="182"/>
        <item x="228"/>
        <item x="284"/>
        <item x="144"/>
        <item x="218"/>
        <item x="50"/>
        <item x="72"/>
        <item x="299"/>
        <item x="64"/>
        <item x="174"/>
        <item x="164"/>
        <item x="3"/>
        <item x="199"/>
        <item x="55"/>
        <item x="197"/>
        <item x="115"/>
        <item x="319"/>
        <item x="333"/>
        <item x="208"/>
        <item x="74"/>
        <item x="377"/>
        <item x="226"/>
        <item x="46"/>
        <item x="261"/>
        <item x="356"/>
        <item x="2"/>
        <item x="24"/>
        <item x="252"/>
        <item x="295"/>
        <item x="62"/>
        <item x="313"/>
        <item x="342"/>
        <item x="18"/>
        <item x="27"/>
        <item x="75"/>
        <item x="6"/>
        <item x="126"/>
        <item x="194"/>
        <item x="33"/>
        <item x="134"/>
        <item x="45"/>
        <item x="350"/>
        <item x="31"/>
        <item x="132"/>
        <item x="93"/>
        <item x="181"/>
        <item x="71"/>
        <item x="104"/>
        <item x="201"/>
        <item x="51"/>
        <item x="86"/>
        <item x="246"/>
        <item x="113"/>
        <item x="170"/>
        <item x="227"/>
        <item x="9"/>
        <item x="224"/>
        <item x="190"/>
        <item x="143"/>
        <item x="76"/>
        <item x="107"/>
        <item x="217"/>
        <item x="166"/>
        <item x="141"/>
        <item x="119"/>
        <item x="54"/>
        <item x="5"/>
        <item x="343"/>
        <item x="270"/>
        <item x="108"/>
        <item x="25"/>
        <item x="157"/>
        <item x="241"/>
        <item x="70"/>
        <item x="145"/>
        <item x="297"/>
        <item x="68"/>
        <item x="138"/>
        <item x="180"/>
        <item x="122"/>
        <item x="12"/>
        <item x="0"/>
        <item x="11"/>
        <item x="133"/>
        <item x="61"/>
        <item x="167"/>
        <item x="148"/>
        <item x="10"/>
        <item x="131"/>
        <item x="257"/>
        <item x="242"/>
        <item x="37"/>
        <item x="36"/>
        <item x="106"/>
        <item x="210"/>
        <item x="205"/>
        <item x="29"/>
        <item x="28"/>
        <item x="19"/>
        <item x="369"/>
        <item x="20"/>
        <item x="230"/>
        <item x="244"/>
        <item x="40"/>
        <item x="140"/>
        <item x="287"/>
        <item x="321"/>
        <item x="405"/>
        <item x="77"/>
        <item x="99"/>
        <item x="283"/>
        <item x="344"/>
        <item x="147"/>
        <item x="191"/>
        <item x="268"/>
        <item x="149"/>
        <item x="111"/>
        <item x="235"/>
        <item x="259"/>
        <item x="53"/>
        <item x="165"/>
        <item x="85"/>
        <item x="318"/>
        <item x="332"/>
        <item x="152"/>
        <item x="187"/>
        <item x="88"/>
        <item x="52"/>
        <item x="221"/>
        <item x="255"/>
        <item x="233"/>
        <item x="239"/>
        <item x="129"/>
        <item x="247"/>
        <item x="328"/>
        <item x="84"/>
        <item x="296"/>
        <item x="139"/>
        <item x="153"/>
        <item x="63"/>
        <item x="396"/>
        <item x="151"/>
        <item x="363"/>
        <item x="325"/>
        <item x="87"/>
        <item x="202"/>
        <item x="15"/>
        <item x="357"/>
        <item x="260"/>
        <item x="232"/>
        <item x="66"/>
        <item x="427"/>
        <item x="340"/>
        <item x="258"/>
        <item x="17"/>
        <item x="150"/>
        <item x="97"/>
        <item x="39"/>
        <item x="38"/>
        <item x="67"/>
        <item x="240"/>
        <item x="162"/>
        <item x="311"/>
        <item x="163"/>
        <item x="94"/>
        <item x="43"/>
        <item x="128"/>
        <item x="188"/>
        <item x="338"/>
        <item x="16"/>
        <item x="262"/>
        <item x="278"/>
        <item x="206"/>
        <item x="410"/>
        <item x="189"/>
        <item x="307"/>
        <item x="249"/>
        <item x="314"/>
        <item x="349"/>
        <item x="95"/>
        <item x="65"/>
        <item x="223"/>
        <item x="304"/>
        <item x="215"/>
        <item x="110"/>
        <item x="337"/>
        <item x="292"/>
        <item x="127"/>
        <item x="146"/>
        <item x="389"/>
        <item x="79"/>
        <item x="266"/>
        <item x="317"/>
        <item x="348"/>
        <item x="92"/>
        <item x="186"/>
        <item x="109"/>
        <item x="301"/>
        <item x="176"/>
        <item x="60"/>
        <item x="8"/>
        <item x="323"/>
        <item x="14"/>
        <item x="175"/>
        <item x="78"/>
        <item x="185"/>
        <item x="135"/>
        <item x="32"/>
        <item x="231"/>
        <item x="195"/>
        <item x="360"/>
        <item x="13"/>
        <item x="290"/>
        <item x="220"/>
        <item x="35"/>
        <item x="312"/>
        <item x="251"/>
        <item x="80"/>
        <item x="428"/>
        <item x="161"/>
        <item x="116"/>
        <item x="184"/>
        <item x="275"/>
        <item x="136"/>
        <item x="173"/>
        <item x="282"/>
        <item x="172"/>
        <item x="81"/>
        <item x="118"/>
        <item x="391"/>
        <item x="204"/>
        <item x="433"/>
        <item x="34"/>
        <item x="263"/>
        <item x="159"/>
        <item x="385"/>
        <item x="291"/>
        <item x="368"/>
        <item x="237"/>
        <item x="160"/>
        <item x="408"/>
        <item x="213"/>
        <item x="306"/>
        <item x="383"/>
        <item x="212"/>
        <item x="90"/>
        <item x="125"/>
        <item x="89"/>
        <item x="214"/>
        <item x="302"/>
        <item x="196"/>
        <item x="103"/>
        <item x="183"/>
        <item x="322"/>
        <item x="253"/>
        <item x="26"/>
        <item x="359"/>
        <item x="154"/>
        <item x="102"/>
        <item x="156"/>
        <item x="238"/>
        <item x="158"/>
        <item x="273"/>
        <item x="105"/>
        <item x="73"/>
        <item x="345"/>
        <item x="285"/>
        <item x="124"/>
        <item x="203"/>
        <item x="30"/>
        <item x="49"/>
        <item x="272"/>
        <item x="265"/>
        <item x="117"/>
        <item x="364"/>
        <item x="425"/>
        <item x="179"/>
        <item x="171"/>
        <item x="347"/>
        <item x="256"/>
        <item x="289"/>
        <item x="211"/>
        <item x="372"/>
        <item x="121"/>
        <item x="250"/>
        <item x="245"/>
        <item x="430"/>
        <item x="229"/>
        <item x="351"/>
        <item x="101"/>
        <item x="59"/>
        <item x="7"/>
        <item x="355"/>
        <item x="169"/>
        <item x="315"/>
        <item x="219"/>
        <item x="155"/>
        <item x="324"/>
        <item x="334"/>
        <item x="352"/>
        <item x="305"/>
        <item x="48"/>
        <item x="98"/>
        <item x="398"/>
        <item x="276"/>
        <item x="415"/>
        <item x="316"/>
        <item x="41"/>
        <item x="123"/>
        <item x="354"/>
        <item x="236"/>
        <item x="346"/>
        <item x="300"/>
        <item x="329"/>
        <item x="379"/>
        <item x="303"/>
        <item x="387"/>
        <item x="376"/>
        <item x="200"/>
        <item x="225"/>
        <item x="426"/>
        <item x="294"/>
        <item x="432"/>
        <item x="56"/>
        <item x="264"/>
        <item x="271"/>
        <item x="222"/>
        <item x="413"/>
        <item x="374"/>
        <item x="407"/>
        <item x="441"/>
        <item x="336"/>
        <item x="367"/>
        <item x="403"/>
        <item x="378"/>
        <item x="100"/>
        <item x="438"/>
        <item x="193"/>
        <item x="395"/>
        <item x="21"/>
        <item x="1"/>
        <item x="362"/>
        <item x="353"/>
        <item x="47"/>
        <item x="112"/>
        <item x="120"/>
        <item x="397"/>
        <item x="274"/>
        <item x="168"/>
        <item x="421"/>
        <item x="341"/>
        <item x="418"/>
        <item x="281"/>
        <item x="83"/>
        <item x="288"/>
        <item x="309"/>
        <item x="373"/>
        <item x="434"/>
        <item x="130"/>
        <item x="365"/>
        <item x="388"/>
        <item x="416"/>
        <item x="310"/>
        <item x="69"/>
        <item x="279"/>
        <item x="366"/>
        <item x="293"/>
        <item x="399"/>
        <item x="286"/>
        <item x="192"/>
        <item x="402"/>
        <item x="248"/>
        <item x="393"/>
        <item x="234"/>
        <item x="243"/>
        <item x="320"/>
        <item x="269"/>
        <item x="142"/>
        <item x="361"/>
        <item x="298"/>
        <item x="439"/>
        <item x="327"/>
        <item x="431"/>
        <item x="207"/>
        <item x="358"/>
        <item x="254"/>
        <item x="424"/>
        <item x="394"/>
        <item x="401"/>
        <item x="335"/>
        <item x="390"/>
        <item x="178"/>
        <item x="267"/>
        <item x="371"/>
        <item x="435"/>
        <item x="277"/>
        <item x="330"/>
        <item x="198"/>
        <item x="326"/>
        <item x="412"/>
        <item x="406"/>
        <item x="382"/>
        <item x="308"/>
        <item x="437"/>
        <item x="380"/>
        <item x="422"/>
        <item x="331"/>
        <item x="280"/>
        <item x="411"/>
        <item x="339"/>
        <item x="400"/>
        <item x="370"/>
        <item x="386"/>
        <item x="384"/>
        <item x="420"/>
        <item x="409"/>
        <item x="436"/>
        <item x="429"/>
        <item x="375"/>
        <item x="381"/>
        <item x="419"/>
        <item x="414"/>
        <item x="423"/>
        <item x="440"/>
        <item x="404"/>
        <item x="392"/>
        <item x="417"/>
      </items>
    </pivotField>
    <pivotField dataField="1" showAll="0" defaultSubtotal="0">
      <items count="9">
        <item x="0"/>
        <item x="1"/>
        <item x="3"/>
        <item x="4"/>
        <item x="6"/>
        <item x="7"/>
        <item x="2"/>
        <item x="8"/>
        <item x="5"/>
      </items>
    </pivotField>
  </pivotFields>
  <rowFields count="3">
    <field x="2"/>
    <field x="6"/>
    <field x="5"/>
  </rowFields>
  <rowItems count="1813">
    <i>
      <x/>
    </i>
    <i r="1">
      <x/>
      <x v="106"/>
    </i>
    <i r="1">
      <x v="1"/>
      <x v="81"/>
    </i>
    <i r="1">
      <x v="2"/>
      <x v="99"/>
    </i>
    <i r="1">
      <x v="3"/>
      <x v="100"/>
    </i>
    <i r="1">
      <x v="4"/>
      <x v="105"/>
    </i>
    <i r="1">
      <x v="5"/>
      <x v="97"/>
    </i>
    <i r="1">
      <x v="6"/>
      <x v="115"/>
    </i>
    <i r="1">
      <x v="7"/>
      <x v="1"/>
    </i>
    <i r="1">
      <x v="8"/>
      <x v="71"/>
    </i>
    <i r="1">
      <x v="9"/>
      <x v="113"/>
    </i>
    <i r="1">
      <x v="10"/>
      <x v="67"/>
    </i>
    <i r="1">
      <x v="11"/>
      <x v="66"/>
    </i>
    <i r="1">
      <x v="12"/>
      <x v="77"/>
    </i>
    <i r="1">
      <x v="13"/>
      <x v="80"/>
    </i>
    <i r="1">
      <x v="14"/>
      <x v="3"/>
    </i>
    <i r="1">
      <x v="15"/>
      <x v="92"/>
    </i>
    <i r="1">
      <x v="16"/>
      <x v="79"/>
    </i>
    <i r="1">
      <x v="17"/>
      <x v="12"/>
    </i>
    <i r="1">
      <x v="18"/>
      <x v="122"/>
    </i>
    <i r="1">
      <x v="19"/>
      <x v="57"/>
    </i>
    <i t="blank">
      <x/>
    </i>
    <i>
      <x v="1"/>
    </i>
    <i r="1">
      <x/>
      <x v="106"/>
    </i>
    <i r="1">
      <x v="1"/>
      <x v="81"/>
    </i>
    <i r="1">
      <x v="2"/>
      <x v="100"/>
    </i>
    <i r="1">
      <x v="3"/>
      <x v="105"/>
    </i>
    <i r="1">
      <x v="4"/>
      <x v="99"/>
    </i>
    <i r="1">
      <x v="5"/>
      <x v="97"/>
    </i>
    <i r="1">
      <x v="6"/>
      <x v="71"/>
    </i>
    <i r="1">
      <x v="7"/>
      <x v="115"/>
    </i>
    <i r="1">
      <x v="8"/>
      <x v="66"/>
    </i>
    <i r="1">
      <x v="9"/>
      <x v="77"/>
    </i>
    <i r="1">
      <x v="10"/>
      <x v="1"/>
    </i>
    <i r="1">
      <x v="11"/>
      <x v="82"/>
    </i>
    <i r="1">
      <x v="12"/>
      <x v="80"/>
    </i>
    <i r="1">
      <x v="13"/>
      <x v="113"/>
    </i>
    <i r="1">
      <x v="14"/>
      <x v="3"/>
    </i>
    <i r="1">
      <x v="15"/>
      <x v="12"/>
    </i>
    <i r="1">
      <x v="16"/>
      <x v="67"/>
    </i>
    <i r="1">
      <x v="17"/>
      <x v="57"/>
    </i>
    <i r="1">
      <x v="18"/>
      <x v="79"/>
    </i>
    <i r="1">
      <x v="19"/>
      <x v="13"/>
    </i>
    <i t="blank">
      <x v="1"/>
    </i>
    <i>
      <x v="2"/>
    </i>
    <i r="1">
      <x/>
      <x v="106"/>
    </i>
    <i r="1">
      <x v="1"/>
      <x v="81"/>
    </i>
    <i r="1">
      <x v="2"/>
      <x v="100"/>
    </i>
    <i r="1">
      <x v="3"/>
      <x v="66"/>
    </i>
    <i r="2">
      <x v="105"/>
    </i>
    <i r="1">
      <x v="5"/>
      <x v="82"/>
    </i>
    <i r="1">
      <x v="6"/>
      <x v="99"/>
    </i>
    <i r="1">
      <x v="7"/>
      <x v="97"/>
    </i>
    <i r="1">
      <x v="8"/>
      <x v="1"/>
    </i>
    <i r="1">
      <x v="9"/>
      <x v="77"/>
    </i>
    <i r="1">
      <x v="10"/>
      <x v="12"/>
    </i>
    <i r="1">
      <x v="11"/>
      <x v="71"/>
    </i>
    <i r="2">
      <x v="101"/>
    </i>
    <i r="2">
      <x v="115"/>
    </i>
    <i r="1">
      <x v="14"/>
      <x v="65"/>
    </i>
    <i r="1">
      <x v="15"/>
      <x v="67"/>
    </i>
    <i r="1">
      <x v="16"/>
      <x v="61"/>
    </i>
    <i r="1">
      <x v="17"/>
      <x v="80"/>
    </i>
    <i r="2">
      <x v="96"/>
    </i>
    <i r="1">
      <x v="19"/>
      <x v="57"/>
    </i>
    <i r="2">
      <x v="113"/>
    </i>
    <i t="blank">
      <x v="2"/>
    </i>
    <i>
      <x v="3"/>
    </i>
    <i r="1">
      <x/>
      <x v="106"/>
    </i>
    <i r="1">
      <x v="1"/>
      <x v="81"/>
    </i>
    <i r="1">
      <x v="2"/>
      <x v="105"/>
    </i>
    <i r="1">
      <x v="3"/>
      <x v="1"/>
    </i>
    <i r="1">
      <x v="4"/>
      <x v="100"/>
    </i>
    <i r="1">
      <x v="5"/>
      <x v="115"/>
    </i>
    <i r="1">
      <x v="6"/>
      <x v="30"/>
    </i>
    <i r="1">
      <x v="7"/>
      <x v="71"/>
    </i>
    <i r="1">
      <x v="8"/>
      <x v="77"/>
    </i>
    <i r="1">
      <x v="9"/>
      <x v="66"/>
    </i>
    <i r="1">
      <x v="10"/>
      <x v="99"/>
    </i>
    <i r="2">
      <x v="113"/>
    </i>
    <i r="1">
      <x v="12"/>
      <x v="67"/>
    </i>
    <i r="1">
      <x v="13"/>
      <x v="97"/>
    </i>
    <i r="1">
      <x v="14"/>
      <x v="3"/>
    </i>
    <i r="2">
      <x v="13"/>
    </i>
    <i r="2">
      <x v="80"/>
    </i>
    <i r="1">
      <x v="17"/>
      <x v="65"/>
    </i>
    <i r="1">
      <x v="18"/>
      <x v="82"/>
    </i>
    <i r="1">
      <x v="19"/>
      <x v="57"/>
    </i>
    <i t="blank">
      <x v="3"/>
    </i>
    <i>
      <x v="4"/>
    </i>
    <i r="1">
      <x/>
      <x v="81"/>
    </i>
    <i r="1">
      <x v="1"/>
      <x v="82"/>
    </i>
    <i r="1">
      <x v="2"/>
      <x v="106"/>
    </i>
    <i r="1">
      <x v="3"/>
      <x v="105"/>
    </i>
    <i r="1">
      <x v="4"/>
      <x v="100"/>
    </i>
    <i r="1">
      <x v="5"/>
      <x v="71"/>
    </i>
    <i r="1">
      <x v="6"/>
      <x v="99"/>
    </i>
    <i r="1">
      <x v="7"/>
      <x v="115"/>
    </i>
    <i r="1">
      <x v="8"/>
      <x v="66"/>
    </i>
    <i r="1">
      <x v="9"/>
      <x v="77"/>
    </i>
    <i r="1">
      <x v="10"/>
      <x v="113"/>
    </i>
    <i r="1">
      <x v="11"/>
      <x v="97"/>
    </i>
    <i r="1">
      <x v="12"/>
      <x v="1"/>
    </i>
    <i r="1">
      <x v="13"/>
      <x v="79"/>
    </i>
    <i r="1">
      <x v="14"/>
      <x v="3"/>
    </i>
    <i r="2">
      <x v="12"/>
    </i>
    <i r="2">
      <x v="57"/>
    </i>
    <i r="1">
      <x v="17"/>
      <x v="101"/>
    </i>
    <i r="1">
      <x v="18"/>
      <x v="64"/>
    </i>
    <i r="1">
      <x v="19"/>
      <x v="104"/>
    </i>
    <i r="2">
      <x v="114"/>
    </i>
    <i t="blank">
      <x v="4"/>
    </i>
    <i>
      <x v="5"/>
    </i>
    <i r="1">
      <x/>
      <x v="81"/>
    </i>
    <i r="1">
      <x v="1"/>
      <x v="106"/>
    </i>
    <i r="1">
      <x v="2"/>
      <x v="100"/>
    </i>
    <i r="1">
      <x v="3"/>
      <x v="97"/>
    </i>
    <i r="1">
      <x v="4"/>
      <x v="99"/>
    </i>
    <i r="1">
      <x v="5"/>
      <x v="77"/>
    </i>
    <i r="1">
      <x v="6"/>
      <x v="66"/>
    </i>
    <i r="1">
      <x v="7"/>
      <x v="71"/>
    </i>
    <i r="1">
      <x v="8"/>
      <x v="80"/>
    </i>
    <i r="1">
      <x v="9"/>
      <x v="105"/>
    </i>
    <i r="1">
      <x v="10"/>
      <x v="57"/>
    </i>
    <i r="1">
      <x v="11"/>
      <x v="115"/>
    </i>
    <i r="1">
      <x v="12"/>
      <x v="82"/>
    </i>
    <i r="1">
      <x v="13"/>
      <x v="3"/>
    </i>
    <i r="1">
      <x v="14"/>
      <x v="113"/>
    </i>
    <i r="1">
      <x v="15"/>
      <x v="79"/>
    </i>
    <i r="1">
      <x v="16"/>
      <x v="51"/>
    </i>
    <i r="1">
      <x v="17"/>
      <x v="101"/>
    </i>
    <i r="2">
      <x v="114"/>
    </i>
    <i r="1">
      <x v="19"/>
      <x v="55"/>
    </i>
    <i r="2">
      <x v="92"/>
    </i>
    <i t="blank">
      <x v="5"/>
    </i>
    <i>
      <x v="6"/>
    </i>
    <i r="1">
      <x/>
      <x v="81"/>
    </i>
    <i r="1">
      <x v="1"/>
      <x v="106"/>
    </i>
    <i r="1">
      <x v="2"/>
      <x v="1"/>
    </i>
    <i r="1">
      <x v="3"/>
      <x v="105"/>
    </i>
    <i r="1">
      <x v="4"/>
      <x v="115"/>
    </i>
    <i r="1">
      <x v="5"/>
      <x v="67"/>
    </i>
    <i r="1">
      <x v="6"/>
      <x v="3"/>
    </i>
    <i r="1">
      <x v="7"/>
      <x v="13"/>
    </i>
    <i r="2">
      <x v="71"/>
    </i>
    <i r="1">
      <x v="9"/>
      <x v="113"/>
    </i>
    <i r="1">
      <x v="10"/>
      <x v="12"/>
    </i>
    <i r="1">
      <x v="11"/>
      <x v="66"/>
    </i>
    <i r="1">
      <x v="12"/>
      <x v="122"/>
    </i>
    <i r="1">
      <x v="13"/>
      <x v="77"/>
    </i>
    <i r="2">
      <x v="80"/>
    </i>
    <i r="1">
      <x v="15"/>
      <x v="79"/>
    </i>
    <i r="1">
      <x v="16"/>
      <x v="5"/>
    </i>
    <i r="1">
      <x v="17"/>
      <x v="51"/>
    </i>
    <i r="1">
      <x v="18"/>
      <x v="99"/>
    </i>
    <i r="1">
      <x v="19"/>
      <x v="4"/>
    </i>
    <i t="blank">
      <x v="6"/>
    </i>
    <i>
      <x v="7"/>
    </i>
    <i r="1">
      <x/>
      <x v="81"/>
    </i>
    <i r="2">
      <x v="106"/>
    </i>
    <i r="1">
      <x v="2"/>
      <x v="82"/>
    </i>
    <i r="1">
      <x v="3"/>
      <x v="105"/>
    </i>
    <i r="1">
      <x v="4"/>
      <x v="99"/>
    </i>
    <i r="1">
      <x v="5"/>
      <x v="66"/>
    </i>
    <i r="1">
      <x v="6"/>
      <x v="97"/>
    </i>
    <i r="1">
      <x v="7"/>
      <x v="113"/>
    </i>
    <i r="1">
      <x v="8"/>
      <x v="71"/>
    </i>
    <i r="2">
      <x v="100"/>
    </i>
    <i r="1">
      <x v="10"/>
      <x v="115"/>
    </i>
    <i r="1">
      <x v="11"/>
      <x v="77"/>
    </i>
    <i r="2">
      <x v="80"/>
    </i>
    <i r="1">
      <x v="13"/>
      <x v="12"/>
    </i>
    <i r="1">
      <x v="14"/>
      <x v="3"/>
    </i>
    <i r="1">
      <x v="15"/>
      <x v="61"/>
    </i>
    <i r="1">
      <x v="16"/>
      <x v="1"/>
    </i>
    <i r="1">
      <x v="17"/>
      <x v="13"/>
    </i>
    <i r="2">
      <x v="57"/>
    </i>
    <i r="2">
      <x v="65"/>
    </i>
    <i r="2">
      <x v="114"/>
    </i>
    <i t="blank">
      <x v="7"/>
    </i>
    <i>
      <x v="8"/>
    </i>
    <i r="1">
      <x/>
      <x v="106"/>
    </i>
    <i r="1">
      <x v="1"/>
      <x v="81"/>
    </i>
    <i r="1">
      <x v="2"/>
      <x v="99"/>
    </i>
    <i r="1">
      <x v="3"/>
      <x v="105"/>
    </i>
    <i r="1">
      <x v="4"/>
      <x v="100"/>
    </i>
    <i r="1">
      <x v="5"/>
      <x v="71"/>
    </i>
    <i r="2">
      <x v="115"/>
    </i>
    <i r="1">
      <x v="7"/>
      <x v="97"/>
    </i>
    <i r="1">
      <x v="8"/>
      <x v="1"/>
    </i>
    <i r="1">
      <x v="9"/>
      <x v="67"/>
    </i>
    <i r="1">
      <x v="10"/>
      <x v="12"/>
    </i>
    <i r="2">
      <x v="77"/>
    </i>
    <i r="1">
      <x v="12"/>
      <x v="3"/>
    </i>
    <i r="1">
      <x v="13"/>
      <x v="80"/>
    </i>
    <i r="1">
      <x v="14"/>
      <x v="66"/>
    </i>
    <i r="1">
      <x v="15"/>
      <x v="113"/>
    </i>
    <i r="1">
      <x v="16"/>
      <x v="79"/>
    </i>
    <i r="1">
      <x v="17"/>
      <x v="122"/>
    </i>
    <i r="1">
      <x v="18"/>
      <x v="13"/>
    </i>
    <i r="1">
      <x v="19"/>
      <x v="4"/>
    </i>
    <i t="blank">
      <x v="8"/>
    </i>
    <i>
      <x v="9"/>
    </i>
    <i r="1">
      <x/>
      <x v="81"/>
    </i>
    <i r="1">
      <x v="1"/>
      <x v="106"/>
    </i>
    <i r="1">
      <x v="2"/>
      <x v="100"/>
    </i>
    <i r="1">
      <x v="3"/>
      <x v="99"/>
    </i>
    <i r="1">
      <x v="4"/>
      <x v="97"/>
    </i>
    <i r="1">
      <x v="5"/>
      <x v="115"/>
    </i>
    <i r="1">
      <x v="6"/>
      <x v="80"/>
    </i>
    <i r="1">
      <x v="7"/>
      <x v="92"/>
    </i>
    <i r="1">
      <x v="8"/>
      <x v="113"/>
    </i>
    <i r="1">
      <x v="9"/>
      <x v="79"/>
    </i>
    <i r="1">
      <x v="10"/>
      <x v="105"/>
    </i>
    <i r="1">
      <x v="11"/>
      <x v="77"/>
    </i>
    <i r="1">
      <x v="12"/>
      <x v="71"/>
    </i>
    <i r="1">
      <x v="13"/>
      <x v="126"/>
    </i>
    <i r="1">
      <x v="14"/>
      <x v="57"/>
    </i>
    <i r="1">
      <x v="15"/>
      <x v="55"/>
    </i>
    <i r="1">
      <x v="16"/>
      <x v="83"/>
    </i>
    <i r="1">
      <x v="17"/>
      <x v="66"/>
    </i>
    <i r="1">
      <x v="18"/>
      <x v="3"/>
    </i>
    <i r="1">
      <x v="19"/>
      <x v="90"/>
    </i>
    <i t="blank">
      <x v="9"/>
    </i>
    <i>
      <x v="10"/>
    </i>
    <i r="1">
      <x/>
      <x v="81"/>
    </i>
    <i r="1">
      <x v="1"/>
      <x v="106"/>
    </i>
    <i r="1">
      <x v="2"/>
      <x v="115"/>
    </i>
    <i r="1">
      <x v="3"/>
      <x v="97"/>
    </i>
    <i r="1">
      <x v="4"/>
      <x v="105"/>
    </i>
    <i r="1">
      <x v="5"/>
      <x v="99"/>
    </i>
    <i r="1">
      <x v="6"/>
      <x v="80"/>
    </i>
    <i r="1">
      <x v="7"/>
      <x v="113"/>
    </i>
    <i r="1">
      <x v="8"/>
      <x v="66"/>
    </i>
    <i r="1">
      <x v="9"/>
      <x v="1"/>
    </i>
    <i r="2">
      <x v="79"/>
    </i>
    <i r="1">
      <x v="11"/>
      <x v="77"/>
    </i>
    <i r="1">
      <x v="12"/>
      <x v="100"/>
    </i>
    <i r="1">
      <x v="13"/>
      <x v="3"/>
    </i>
    <i r="1">
      <x v="14"/>
      <x v="104"/>
    </i>
    <i r="1">
      <x v="15"/>
      <x v="67"/>
    </i>
    <i r="1">
      <x v="16"/>
      <x v="71"/>
    </i>
    <i r="1">
      <x v="17"/>
      <x v="55"/>
    </i>
    <i r="1">
      <x v="18"/>
      <x v="47"/>
    </i>
    <i r="1">
      <x v="19"/>
      <x v="13"/>
    </i>
    <i r="2">
      <x v="78"/>
    </i>
    <i t="blank">
      <x v="10"/>
    </i>
    <i>
      <x v="11"/>
    </i>
    <i r="1">
      <x/>
      <x v="100"/>
    </i>
    <i r="1">
      <x v="1"/>
      <x v="99"/>
    </i>
    <i r="1">
      <x v="2"/>
      <x v="81"/>
    </i>
    <i r="1">
      <x v="3"/>
      <x v="51"/>
    </i>
    <i r="1">
      <x v="4"/>
      <x v="55"/>
    </i>
    <i r="1">
      <x v="5"/>
      <x v="97"/>
    </i>
    <i r="1">
      <x v="6"/>
      <x v="53"/>
    </i>
    <i r="1">
      <x v="7"/>
      <x v="80"/>
    </i>
    <i r="1">
      <x v="8"/>
      <x v="39"/>
    </i>
    <i r="1">
      <x v="9"/>
      <x v="92"/>
    </i>
    <i r="1">
      <x v="10"/>
      <x v="126"/>
    </i>
    <i r="1">
      <x v="11"/>
      <x v="106"/>
    </i>
    <i r="1">
      <x v="12"/>
      <x v="79"/>
    </i>
    <i r="1">
      <x v="13"/>
      <x v="47"/>
    </i>
    <i r="1">
      <x v="14"/>
      <x v="115"/>
    </i>
    <i r="1">
      <x v="15"/>
      <x v="66"/>
    </i>
    <i r="1">
      <x v="16"/>
      <x v="89"/>
    </i>
    <i r="1">
      <x v="17"/>
      <x v="48"/>
    </i>
    <i r="2">
      <x v="49"/>
    </i>
    <i r="2">
      <x v="77"/>
    </i>
    <i t="blank">
      <x v="11"/>
    </i>
    <i>
      <x v="12"/>
    </i>
    <i r="1">
      <x/>
      <x v="97"/>
    </i>
    <i r="1">
      <x v="1"/>
      <x v="106"/>
    </i>
    <i r="1">
      <x v="2"/>
      <x v="99"/>
    </i>
    <i r="1">
      <x v="3"/>
      <x v="100"/>
    </i>
    <i r="1">
      <x v="4"/>
      <x v="81"/>
    </i>
    <i r="1">
      <x v="5"/>
      <x v="80"/>
    </i>
    <i r="1">
      <x v="6"/>
      <x v="113"/>
    </i>
    <i r="1">
      <x v="7"/>
      <x v="57"/>
    </i>
    <i r="2">
      <x v="115"/>
    </i>
    <i r="1">
      <x v="9"/>
      <x v="79"/>
    </i>
    <i r="1">
      <x v="10"/>
      <x v="92"/>
    </i>
    <i r="1">
      <x v="11"/>
      <x v="85"/>
    </i>
    <i r="1">
      <x v="12"/>
      <x v="77"/>
    </i>
    <i r="1">
      <x v="13"/>
      <x v="107"/>
    </i>
    <i r="1">
      <x v="14"/>
      <x v="126"/>
    </i>
    <i r="1">
      <x v="15"/>
      <x v="87"/>
    </i>
    <i r="1">
      <x v="16"/>
      <x v="90"/>
    </i>
    <i r="1">
      <x v="17"/>
      <x v="83"/>
    </i>
    <i r="1">
      <x v="18"/>
      <x v="86"/>
    </i>
    <i r="1">
      <x v="19"/>
      <x v="89"/>
    </i>
    <i t="blank">
      <x v="12"/>
    </i>
    <i>
      <x v="13"/>
    </i>
    <i r="1">
      <x/>
      <x v="81"/>
    </i>
    <i r="1">
      <x v="1"/>
      <x v="106"/>
    </i>
    <i r="1">
      <x v="2"/>
      <x v="99"/>
    </i>
    <i r="1">
      <x v="3"/>
      <x v="92"/>
    </i>
    <i r="1">
      <x v="4"/>
      <x v="115"/>
    </i>
    <i r="1">
      <x v="5"/>
      <x v="113"/>
    </i>
    <i r="1">
      <x v="6"/>
      <x v="97"/>
    </i>
    <i r="1">
      <x v="7"/>
      <x v="105"/>
    </i>
    <i r="1">
      <x v="8"/>
      <x v="80"/>
    </i>
    <i r="1">
      <x v="9"/>
      <x v="71"/>
    </i>
    <i r="1">
      <x v="10"/>
      <x v="79"/>
    </i>
    <i r="1">
      <x v="11"/>
      <x v="3"/>
    </i>
    <i r="1">
      <x v="12"/>
      <x v="100"/>
    </i>
    <i r="1">
      <x v="13"/>
      <x v="83"/>
    </i>
    <i r="1">
      <x v="14"/>
      <x v="10"/>
    </i>
    <i r="1">
      <x v="15"/>
      <x v="1"/>
    </i>
    <i r="2">
      <x v="104"/>
    </i>
    <i r="1">
      <x v="17"/>
      <x v="12"/>
    </i>
    <i r="1">
      <x v="18"/>
      <x v="5"/>
    </i>
    <i r="1">
      <x v="19"/>
      <x v="66"/>
    </i>
    <i t="blank">
      <x v="13"/>
    </i>
    <i>
      <x v="14"/>
    </i>
    <i r="1">
      <x/>
      <x v="106"/>
    </i>
    <i r="1">
      <x v="1"/>
      <x v="81"/>
    </i>
    <i r="1">
      <x v="2"/>
      <x v="1"/>
    </i>
    <i r="1">
      <x v="3"/>
      <x v="115"/>
    </i>
    <i r="1">
      <x v="4"/>
      <x v="113"/>
    </i>
    <i r="1">
      <x v="5"/>
      <x v="105"/>
    </i>
    <i r="1">
      <x v="6"/>
      <x v="12"/>
    </i>
    <i r="2">
      <x v="97"/>
    </i>
    <i r="1">
      <x v="8"/>
      <x v="3"/>
    </i>
    <i r="1">
      <x v="9"/>
      <x v="99"/>
    </i>
    <i r="1">
      <x v="10"/>
      <x v="71"/>
    </i>
    <i r="2">
      <x v="104"/>
    </i>
    <i r="1">
      <x v="12"/>
      <x v="67"/>
    </i>
    <i r="2">
      <x v="79"/>
    </i>
    <i r="1">
      <x v="14"/>
      <x v="11"/>
    </i>
    <i r="2">
      <x v="13"/>
    </i>
    <i r="1">
      <x v="16"/>
      <x v="57"/>
    </i>
    <i r="1">
      <x v="17"/>
      <x v="92"/>
    </i>
    <i r="2">
      <x v="100"/>
    </i>
    <i r="1">
      <x v="19"/>
      <x v="65"/>
    </i>
    <i r="2">
      <x v="77"/>
    </i>
    <i t="blank">
      <x v="14"/>
    </i>
    <i>
      <x v="15"/>
    </i>
    <i r="1">
      <x/>
      <x v="81"/>
    </i>
    <i r="1">
      <x v="1"/>
      <x v="106"/>
    </i>
    <i r="1">
      <x v="2"/>
      <x v="105"/>
    </i>
    <i r="1">
      <x v="3"/>
      <x v="99"/>
    </i>
    <i r="1">
      <x v="4"/>
      <x v="115"/>
    </i>
    <i r="1">
      <x v="5"/>
      <x v="79"/>
    </i>
    <i r="1">
      <x v="6"/>
      <x v="92"/>
    </i>
    <i r="2">
      <x v="97"/>
    </i>
    <i r="1">
      <x v="8"/>
      <x v="113"/>
    </i>
    <i r="1">
      <x v="9"/>
      <x v="104"/>
    </i>
    <i r="1">
      <x v="10"/>
      <x v="3"/>
    </i>
    <i r="2">
      <x v="5"/>
    </i>
    <i r="2">
      <x v="71"/>
    </i>
    <i r="1">
      <x v="13"/>
      <x v="118"/>
    </i>
    <i r="1">
      <x v="14"/>
      <x v="67"/>
    </i>
    <i r="1">
      <x v="15"/>
      <x v="66"/>
    </i>
    <i r="1">
      <x v="16"/>
      <x v="80"/>
    </i>
    <i r="1">
      <x v="17"/>
      <x v="12"/>
    </i>
    <i r="1">
      <x v="18"/>
      <x v="10"/>
    </i>
    <i r="2">
      <x v="13"/>
    </i>
    <i r="2">
      <x v="83"/>
    </i>
    <i t="blank">
      <x v="15"/>
    </i>
    <i>
      <x v="16"/>
    </i>
    <i r="1">
      <x/>
      <x v="106"/>
    </i>
    <i r="1">
      <x v="1"/>
      <x v="81"/>
    </i>
    <i r="1">
      <x v="2"/>
      <x v="99"/>
    </i>
    <i r="1">
      <x v="3"/>
      <x v="105"/>
    </i>
    <i r="1">
      <x v="4"/>
      <x v="97"/>
    </i>
    <i r="1">
      <x v="5"/>
      <x v="115"/>
    </i>
    <i r="1">
      <x v="6"/>
      <x v="113"/>
    </i>
    <i r="1">
      <x v="7"/>
      <x v="79"/>
    </i>
    <i r="1">
      <x v="8"/>
      <x v="100"/>
    </i>
    <i r="1">
      <x v="9"/>
      <x v="71"/>
    </i>
    <i r="1">
      <x v="10"/>
      <x v="1"/>
    </i>
    <i r="1">
      <x v="11"/>
      <x v="67"/>
    </i>
    <i r="1">
      <x v="12"/>
      <x v="104"/>
    </i>
    <i r="1">
      <x v="13"/>
      <x v="80"/>
    </i>
    <i r="1">
      <x v="14"/>
      <x v="92"/>
    </i>
    <i r="1">
      <x v="15"/>
      <x v="12"/>
    </i>
    <i r="1">
      <x v="16"/>
      <x v="13"/>
    </i>
    <i r="2">
      <x v="114"/>
    </i>
    <i r="1">
      <x v="18"/>
      <x v="5"/>
    </i>
    <i r="1">
      <x v="19"/>
      <x v="83"/>
    </i>
    <i t="blank">
      <x v="16"/>
    </i>
    <i>
      <x v="17"/>
    </i>
    <i r="1">
      <x/>
      <x v="106"/>
    </i>
    <i r="1">
      <x v="1"/>
      <x v="100"/>
    </i>
    <i r="1">
      <x v="2"/>
      <x v="105"/>
    </i>
    <i r="1">
      <x v="3"/>
      <x v="81"/>
    </i>
    <i r="1">
      <x v="4"/>
      <x v="115"/>
    </i>
    <i r="1">
      <x v="5"/>
      <x v="66"/>
    </i>
    <i r="1">
      <x v="6"/>
      <x v="67"/>
    </i>
    <i r="1">
      <x v="7"/>
      <x v="99"/>
    </i>
    <i r="1">
      <x v="8"/>
      <x v="77"/>
    </i>
    <i r="1">
      <x v="9"/>
      <x v="97"/>
    </i>
    <i r="1">
      <x v="10"/>
      <x v="71"/>
    </i>
    <i r="1">
      <x v="11"/>
      <x v="1"/>
    </i>
    <i r="1">
      <x v="12"/>
      <x v="3"/>
    </i>
    <i r="1">
      <x v="13"/>
      <x v="57"/>
    </i>
    <i r="1">
      <x v="14"/>
      <x v="113"/>
    </i>
    <i r="1">
      <x v="15"/>
      <x v="122"/>
    </i>
    <i r="1">
      <x v="16"/>
      <x v="4"/>
    </i>
    <i r="2">
      <x v="73"/>
    </i>
    <i r="1">
      <x v="18"/>
      <x v="12"/>
    </i>
    <i r="2">
      <x v="104"/>
    </i>
    <i t="blank">
      <x v="17"/>
    </i>
    <i>
      <x v="18"/>
    </i>
    <i r="1">
      <x/>
      <x v="106"/>
    </i>
    <i r="1">
      <x v="1"/>
      <x v="81"/>
    </i>
    <i r="1">
      <x v="2"/>
      <x v="99"/>
    </i>
    <i r="1">
      <x v="3"/>
      <x v="105"/>
    </i>
    <i r="1">
      <x v="4"/>
      <x v="115"/>
    </i>
    <i r="1">
      <x v="5"/>
      <x v="97"/>
    </i>
    <i r="1">
      <x v="6"/>
      <x v="100"/>
    </i>
    <i r="1">
      <x v="7"/>
      <x v="71"/>
    </i>
    <i r="1">
      <x v="8"/>
      <x v="122"/>
    </i>
    <i r="1">
      <x v="9"/>
      <x v="1"/>
    </i>
    <i r="1">
      <x v="10"/>
      <x v="113"/>
    </i>
    <i r="1">
      <x v="11"/>
      <x v="77"/>
    </i>
    <i r="1">
      <x v="12"/>
      <x v="67"/>
    </i>
    <i r="1">
      <x v="13"/>
      <x v="66"/>
    </i>
    <i r="1">
      <x v="14"/>
      <x v="57"/>
    </i>
    <i r="1">
      <x v="15"/>
      <x v="80"/>
    </i>
    <i r="1">
      <x v="16"/>
      <x v="3"/>
    </i>
    <i r="1">
      <x v="17"/>
      <x v="79"/>
    </i>
    <i r="1">
      <x v="18"/>
      <x v="4"/>
    </i>
    <i r="1">
      <x v="19"/>
      <x v="12"/>
    </i>
    <i t="blank">
      <x v="18"/>
    </i>
    <i>
      <x v="19"/>
    </i>
    <i r="1">
      <x/>
      <x v="106"/>
    </i>
    <i r="1">
      <x v="1"/>
      <x v="1"/>
    </i>
    <i r="1">
      <x v="2"/>
      <x v="105"/>
    </i>
    <i r="1">
      <x v="3"/>
      <x v="100"/>
    </i>
    <i r="1">
      <x v="4"/>
      <x v="115"/>
    </i>
    <i r="1">
      <x v="5"/>
      <x v="77"/>
    </i>
    <i r="2">
      <x v="81"/>
    </i>
    <i r="1">
      <x v="7"/>
      <x v="57"/>
    </i>
    <i r="1">
      <x v="8"/>
      <x v="66"/>
    </i>
    <i r="2">
      <x v="67"/>
    </i>
    <i r="1">
      <x v="10"/>
      <x v="65"/>
    </i>
    <i r="2">
      <x v="71"/>
    </i>
    <i r="1">
      <x v="12"/>
      <x v="99"/>
    </i>
    <i r="1">
      <x v="13"/>
      <x v="96"/>
    </i>
    <i r="1">
      <x v="14"/>
      <x v="3"/>
    </i>
    <i r="2">
      <x v="12"/>
    </i>
    <i r="2">
      <x v="33"/>
    </i>
    <i r="2">
      <x v="122"/>
    </i>
    <i r="1">
      <x v="18"/>
      <x v="113"/>
    </i>
    <i r="1">
      <x v="19"/>
      <x v="30"/>
    </i>
    <i r="2">
      <x v="32"/>
    </i>
    <i r="2">
      <x v="86"/>
    </i>
    <i t="blank">
      <x v="19"/>
    </i>
    <i>
      <x v="20"/>
    </i>
    <i r="1">
      <x/>
      <x v="106"/>
    </i>
    <i r="1">
      <x v="1"/>
      <x v="105"/>
    </i>
    <i r="1">
      <x v="2"/>
      <x v="1"/>
    </i>
    <i r="1">
      <x v="3"/>
      <x v="99"/>
    </i>
    <i r="1">
      <x v="4"/>
      <x v="67"/>
    </i>
    <i r="2">
      <x v="115"/>
    </i>
    <i r="1">
      <x v="6"/>
      <x v="97"/>
    </i>
    <i r="1">
      <x v="7"/>
      <x v="66"/>
    </i>
    <i r="1">
      <x v="8"/>
      <x v="81"/>
    </i>
    <i r="1">
      <x v="9"/>
      <x v="71"/>
    </i>
    <i r="2">
      <x v="77"/>
    </i>
    <i r="1">
      <x v="11"/>
      <x v="100"/>
    </i>
    <i r="1">
      <x v="12"/>
      <x v="122"/>
    </i>
    <i r="1">
      <x v="13"/>
      <x v="57"/>
    </i>
    <i r="1">
      <x v="14"/>
      <x v="3"/>
    </i>
    <i r="1">
      <x v="15"/>
      <x v="68"/>
    </i>
    <i r="2">
      <x v="80"/>
    </i>
    <i r="1">
      <x v="17"/>
      <x v="12"/>
    </i>
    <i r="1">
      <x v="18"/>
      <x v="113"/>
    </i>
    <i r="1">
      <x v="19"/>
      <x v="65"/>
    </i>
    <i t="blank">
      <x v="20"/>
    </i>
    <i>
      <x v="21"/>
    </i>
    <i r="1">
      <x/>
      <x v="106"/>
    </i>
    <i r="1">
      <x v="1"/>
      <x v="100"/>
    </i>
    <i r="1">
      <x v="2"/>
      <x v="105"/>
    </i>
    <i r="1">
      <x v="3"/>
      <x v="99"/>
    </i>
    <i r="1">
      <x v="4"/>
      <x v="77"/>
    </i>
    <i r="1">
      <x v="5"/>
      <x v="1"/>
    </i>
    <i r="1">
      <x v="6"/>
      <x v="66"/>
    </i>
    <i r="1">
      <x v="7"/>
      <x v="115"/>
    </i>
    <i r="1">
      <x v="8"/>
      <x v="122"/>
    </i>
    <i r="1">
      <x v="9"/>
      <x v="71"/>
    </i>
    <i r="1">
      <x v="10"/>
      <x v="67"/>
    </i>
    <i r="1">
      <x v="11"/>
      <x v="113"/>
    </i>
    <i r="1">
      <x v="12"/>
      <x v="97"/>
    </i>
    <i r="1">
      <x v="13"/>
      <x v="81"/>
    </i>
    <i r="1">
      <x v="14"/>
      <x v="92"/>
    </i>
    <i r="2">
      <x v="101"/>
    </i>
    <i r="1">
      <x v="16"/>
      <x v="57"/>
    </i>
    <i r="2">
      <x v="104"/>
    </i>
    <i r="1">
      <x v="18"/>
      <x v="3"/>
    </i>
    <i r="2">
      <x v="96"/>
    </i>
    <i t="blank">
      <x v="21"/>
    </i>
    <i>
      <x v="22"/>
    </i>
    <i r="1">
      <x/>
      <x v="106"/>
    </i>
    <i r="1">
      <x v="1"/>
      <x v="81"/>
    </i>
    <i r="1">
      <x v="2"/>
      <x v="1"/>
    </i>
    <i r="1">
      <x v="3"/>
      <x v="105"/>
    </i>
    <i r="1">
      <x v="4"/>
      <x v="115"/>
    </i>
    <i r="1">
      <x v="5"/>
      <x v="66"/>
    </i>
    <i r="1">
      <x v="6"/>
      <x v="67"/>
    </i>
    <i r="1">
      <x v="7"/>
      <x v="71"/>
    </i>
    <i r="1">
      <x v="8"/>
      <x v="35"/>
    </i>
    <i r="2">
      <x v="97"/>
    </i>
    <i r="1">
      <x v="10"/>
      <x v="92"/>
    </i>
    <i r="2">
      <x v="122"/>
    </i>
    <i r="1">
      <x v="12"/>
      <x v="65"/>
    </i>
    <i r="1">
      <x v="13"/>
      <x v="23"/>
    </i>
    <i r="1">
      <x v="14"/>
      <x v="77"/>
    </i>
    <i r="1">
      <x v="15"/>
      <x v="4"/>
    </i>
    <i r="2">
      <x v="99"/>
    </i>
    <i r="2">
      <x v="100"/>
    </i>
    <i r="1">
      <x v="18"/>
      <x v="12"/>
    </i>
    <i r="2">
      <x v="68"/>
    </i>
    <i t="blank">
      <x v="22"/>
    </i>
    <i>
      <x v="23"/>
    </i>
    <i r="1">
      <x/>
      <x v="106"/>
    </i>
    <i r="1">
      <x v="1"/>
      <x v="122"/>
    </i>
    <i r="1">
      <x v="2"/>
      <x v="4"/>
    </i>
    <i r="1">
      <x v="3"/>
      <x v="99"/>
    </i>
    <i r="1">
      <x v="4"/>
      <x v="18"/>
    </i>
    <i r="1">
      <x v="5"/>
      <x v="105"/>
    </i>
    <i r="1">
      <x v="6"/>
      <x v="66"/>
    </i>
    <i r="1">
      <x v="7"/>
      <x v="1"/>
    </i>
    <i r="1">
      <x v="8"/>
      <x v="67"/>
    </i>
    <i r="2">
      <x v="100"/>
    </i>
    <i r="1">
      <x v="10"/>
      <x v="3"/>
    </i>
    <i r="2">
      <x v="12"/>
    </i>
    <i r="1">
      <x v="12"/>
      <x v="115"/>
    </i>
    <i r="1">
      <x v="13"/>
      <x v="64"/>
    </i>
    <i r="1">
      <x v="14"/>
      <x v="97"/>
    </i>
    <i r="1">
      <x v="15"/>
      <x v="81"/>
    </i>
    <i r="1">
      <x v="16"/>
      <x v="71"/>
    </i>
    <i r="2">
      <x v="77"/>
    </i>
    <i r="1">
      <x v="18"/>
      <x v="65"/>
    </i>
    <i r="2">
      <x v="69"/>
    </i>
    <i r="2">
      <x v="92"/>
    </i>
    <i t="blank">
      <x v="23"/>
    </i>
    <i>
      <x v="24"/>
    </i>
    <i r="1">
      <x/>
      <x v="106"/>
    </i>
    <i r="1">
      <x v="1"/>
      <x v="105"/>
    </i>
    <i r="1">
      <x v="2"/>
      <x v="97"/>
    </i>
    <i r="1">
      <x v="3"/>
      <x v="115"/>
    </i>
    <i r="1">
      <x v="4"/>
      <x v="67"/>
    </i>
    <i r="1">
      <x v="5"/>
      <x v="66"/>
    </i>
    <i r="2">
      <x v="113"/>
    </i>
    <i r="1">
      <x v="7"/>
      <x v="71"/>
    </i>
    <i r="2">
      <x v="81"/>
    </i>
    <i r="1">
      <x v="9"/>
      <x v="92"/>
    </i>
    <i r="2">
      <x v="122"/>
    </i>
    <i r="1">
      <x v="11"/>
      <x v="99"/>
    </i>
    <i r="1">
      <x v="12"/>
      <x v="100"/>
    </i>
    <i r="1">
      <x v="13"/>
      <x v="1"/>
    </i>
    <i r="1">
      <x v="14"/>
      <x v="12"/>
    </i>
    <i r="2">
      <x v="65"/>
    </i>
    <i r="2">
      <x v="68"/>
    </i>
    <i r="2">
      <x v="79"/>
    </i>
    <i r="1">
      <x v="18"/>
      <x v="77"/>
    </i>
    <i r="1">
      <x v="19"/>
      <x v="57"/>
    </i>
    <i t="blank">
      <x v="24"/>
    </i>
    <i>
      <x v="25"/>
    </i>
    <i r="1">
      <x/>
      <x v="23"/>
    </i>
    <i r="1">
      <x v="1"/>
      <x v="24"/>
    </i>
    <i r="1">
      <x v="2"/>
      <x v="54"/>
    </i>
    <i r="1">
      <x v="3"/>
      <x v="81"/>
    </i>
    <i r="1">
      <x v="4"/>
      <x v="106"/>
    </i>
    <i r="1">
      <x v="5"/>
      <x v="21"/>
    </i>
    <i r="1">
      <x v="6"/>
      <x v="105"/>
    </i>
    <i r="1">
      <x v="7"/>
      <x v="100"/>
    </i>
    <i r="1">
      <x v="8"/>
      <x v="115"/>
    </i>
    <i r="1">
      <x v="9"/>
      <x v="69"/>
    </i>
    <i r="1">
      <x v="10"/>
      <x v="67"/>
    </i>
    <i r="2">
      <x v="80"/>
    </i>
    <i r="1">
      <x v="12"/>
      <x v="48"/>
    </i>
    <i r="2">
      <x v="99"/>
    </i>
    <i r="1">
      <x v="14"/>
      <x v="97"/>
    </i>
    <i r="2">
      <x v="122"/>
    </i>
    <i r="1">
      <x v="16"/>
      <x v="1"/>
    </i>
    <i r="2">
      <x v="20"/>
    </i>
    <i r="1">
      <x v="18"/>
      <x v="22"/>
    </i>
    <i r="2">
      <x v="66"/>
    </i>
    <i t="blank">
      <x v="25"/>
    </i>
    <i>
      <x v="26"/>
    </i>
    <i r="1">
      <x/>
      <x v="81"/>
    </i>
    <i r="1">
      <x v="1"/>
      <x v="106"/>
    </i>
    <i r="1">
      <x v="2"/>
      <x v="100"/>
    </i>
    <i r="1">
      <x v="3"/>
      <x v="1"/>
    </i>
    <i r="1">
      <x v="4"/>
      <x v="113"/>
    </i>
    <i r="1">
      <x v="5"/>
      <x v="115"/>
    </i>
    <i r="1">
      <x v="6"/>
      <x v="105"/>
    </i>
    <i r="1">
      <x v="7"/>
      <x v="77"/>
    </i>
    <i r="2">
      <x v="97"/>
    </i>
    <i r="1">
      <x v="9"/>
      <x v="99"/>
    </i>
    <i r="1">
      <x v="10"/>
      <x v="67"/>
    </i>
    <i r="1">
      <x v="11"/>
      <x v="3"/>
    </i>
    <i r="2">
      <x v="71"/>
    </i>
    <i r="1">
      <x v="13"/>
      <x v="57"/>
    </i>
    <i r="1">
      <x v="14"/>
      <x v="82"/>
    </i>
    <i r="1">
      <x v="15"/>
      <x v="66"/>
    </i>
    <i r="1">
      <x v="16"/>
      <x v="12"/>
    </i>
    <i r="1">
      <x v="17"/>
      <x v="122"/>
    </i>
    <i r="1">
      <x v="18"/>
      <x v="4"/>
    </i>
    <i r="1">
      <x v="19"/>
      <x v="13"/>
    </i>
    <i r="2">
      <x v="80"/>
    </i>
    <i t="blank">
      <x v="26"/>
    </i>
    <i>
      <x v="27"/>
    </i>
    <i r="1">
      <x/>
      <x v="106"/>
    </i>
    <i r="1">
      <x v="1"/>
      <x v="1"/>
    </i>
    <i r="1">
      <x v="2"/>
      <x v="105"/>
    </i>
    <i r="1">
      <x v="3"/>
      <x v="100"/>
    </i>
    <i r="1">
      <x v="4"/>
      <x v="81"/>
    </i>
    <i r="1">
      <x v="5"/>
      <x v="77"/>
    </i>
    <i r="2">
      <x v="103"/>
    </i>
    <i r="2">
      <x v="115"/>
    </i>
    <i r="2">
      <x v="122"/>
    </i>
    <i r="1">
      <x v="9"/>
      <x v="12"/>
    </i>
    <i r="2">
      <x v="57"/>
    </i>
    <i r="2">
      <x v="67"/>
    </i>
    <i r="2">
      <x v="97"/>
    </i>
    <i r="2">
      <x v="111"/>
    </i>
    <i r="2">
      <x v="113"/>
    </i>
    <i r="1">
      <x v="15"/>
      <x v="64"/>
    </i>
    <i r="2">
      <x v="66"/>
    </i>
    <i r="2">
      <x v="101"/>
    </i>
    <i r="2">
      <x v="112"/>
    </i>
    <i r="1">
      <x v="19"/>
      <x v="68"/>
    </i>
    <i t="blank">
      <x v="27"/>
    </i>
    <i>
      <x v="28"/>
    </i>
    <i r="1">
      <x/>
      <x v="106"/>
    </i>
    <i r="1">
      <x v="1"/>
      <x v="1"/>
    </i>
    <i r="1">
      <x v="2"/>
      <x v="105"/>
    </i>
    <i r="1">
      <x v="3"/>
      <x v="115"/>
    </i>
    <i r="1">
      <x v="4"/>
      <x v="113"/>
    </i>
    <i r="1">
      <x v="5"/>
      <x v="66"/>
    </i>
    <i r="1">
      <x v="6"/>
      <x v="3"/>
    </i>
    <i r="1">
      <x v="7"/>
      <x v="13"/>
    </i>
    <i r="1">
      <x v="8"/>
      <x v="12"/>
    </i>
    <i r="2">
      <x v="67"/>
    </i>
    <i r="2">
      <x v="71"/>
    </i>
    <i r="1">
      <x v="11"/>
      <x v="77"/>
    </i>
    <i r="2">
      <x v="97"/>
    </i>
    <i r="1">
      <x v="13"/>
      <x v="57"/>
    </i>
    <i r="1">
      <x v="14"/>
      <x v="122"/>
    </i>
    <i r="1">
      <x v="15"/>
      <x v="81"/>
    </i>
    <i r="1">
      <x v="16"/>
      <x v="11"/>
    </i>
    <i r="2">
      <x v="14"/>
    </i>
    <i r="2">
      <x v="104"/>
    </i>
    <i r="2">
      <x v="109"/>
    </i>
    <i t="blank">
      <x v="28"/>
    </i>
    <i>
      <x v="29"/>
    </i>
    <i r="1">
      <x/>
      <x v="81"/>
    </i>
    <i r="1">
      <x v="1"/>
      <x v="106"/>
    </i>
    <i r="1">
      <x v="2"/>
      <x v="113"/>
    </i>
    <i r="1">
      <x v="3"/>
      <x v="71"/>
    </i>
    <i r="1">
      <x v="4"/>
      <x v="105"/>
    </i>
    <i r="1">
      <x v="5"/>
      <x v="115"/>
    </i>
    <i r="1">
      <x v="6"/>
      <x v="100"/>
    </i>
    <i r="2">
      <x v="122"/>
    </i>
    <i r="1">
      <x v="8"/>
      <x v="1"/>
    </i>
    <i r="2">
      <x v="66"/>
    </i>
    <i r="1">
      <x v="10"/>
      <x v="67"/>
    </i>
    <i r="1">
      <x v="11"/>
      <x v="97"/>
    </i>
    <i r="2">
      <x v="99"/>
    </i>
    <i r="1">
      <x v="13"/>
      <x v="78"/>
    </i>
    <i r="2">
      <x v="80"/>
    </i>
    <i r="2">
      <x v="109"/>
    </i>
    <i r="1">
      <x v="16"/>
      <x v="82"/>
    </i>
    <i r="2">
      <x v="104"/>
    </i>
    <i r="2">
      <x v="112"/>
    </i>
    <i r="1">
      <x v="19"/>
      <x v="77"/>
    </i>
    <i r="2">
      <x v="101"/>
    </i>
    <i t="blank">
      <x v="29"/>
    </i>
    <i>
      <x v="30"/>
    </i>
    <i r="1">
      <x/>
      <x v="106"/>
    </i>
    <i r="1">
      <x v="1"/>
      <x v="81"/>
    </i>
    <i r="1">
      <x v="2"/>
      <x v="99"/>
    </i>
    <i r="1">
      <x v="3"/>
      <x v="100"/>
    </i>
    <i r="1">
      <x v="4"/>
      <x v="1"/>
    </i>
    <i r="2">
      <x v="105"/>
    </i>
    <i r="1">
      <x v="6"/>
      <x v="71"/>
    </i>
    <i r="1">
      <x v="7"/>
      <x v="113"/>
    </i>
    <i r="2">
      <x v="115"/>
    </i>
    <i r="1">
      <x v="9"/>
      <x v="67"/>
    </i>
    <i r="1">
      <x v="10"/>
      <x v="13"/>
    </i>
    <i r="1">
      <x v="11"/>
      <x v="66"/>
    </i>
    <i r="1">
      <x v="12"/>
      <x v="80"/>
    </i>
    <i r="1">
      <x v="13"/>
      <x v="77"/>
    </i>
    <i r="2">
      <x v="92"/>
    </i>
    <i r="1">
      <x v="15"/>
      <x v="4"/>
    </i>
    <i r="2">
      <x v="12"/>
    </i>
    <i r="2">
      <x v="57"/>
    </i>
    <i r="1">
      <x v="18"/>
      <x v="104"/>
    </i>
    <i r="1">
      <x v="19"/>
      <x v="65"/>
    </i>
    <i t="blank">
      <x v="30"/>
    </i>
    <i>
      <x v="31"/>
    </i>
    <i r="1">
      <x/>
      <x v="81"/>
    </i>
    <i r="1">
      <x v="1"/>
      <x v="106"/>
    </i>
    <i r="1">
      <x v="2"/>
      <x v="105"/>
    </i>
    <i r="1">
      <x v="3"/>
      <x v="113"/>
    </i>
    <i r="1">
      <x v="4"/>
      <x v="99"/>
    </i>
    <i r="1">
      <x v="5"/>
      <x v="12"/>
    </i>
    <i r="1">
      <x v="6"/>
      <x v="97"/>
    </i>
    <i r="1">
      <x v="7"/>
      <x v="67"/>
    </i>
    <i r="1">
      <x v="8"/>
      <x v="100"/>
    </i>
    <i r="1">
      <x v="9"/>
      <x v="115"/>
    </i>
    <i r="1">
      <x v="10"/>
      <x v="80"/>
    </i>
    <i r="1">
      <x v="11"/>
      <x v="3"/>
    </i>
    <i r="2">
      <x v="104"/>
    </i>
    <i r="1">
      <x v="13"/>
      <x v="92"/>
    </i>
    <i r="1">
      <x v="14"/>
      <x v="71"/>
    </i>
    <i r="1">
      <x v="15"/>
      <x v="5"/>
    </i>
    <i r="2">
      <x v="10"/>
    </i>
    <i r="2">
      <x v="13"/>
    </i>
    <i r="2">
      <x v="112"/>
    </i>
    <i r="1">
      <x v="19"/>
      <x v="11"/>
    </i>
    <i r="2">
      <x v="77"/>
    </i>
    <i t="blank">
      <x v="31"/>
    </i>
    <i>
      <x v="32"/>
    </i>
    <i r="1">
      <x/>
      <x v="81"/>
    </i>
    <i r="1">
      <x v="1"/>
      <x v="106"/>
    </i>
    <i r="1">
      <x v="2"/>
      <x v="67"/>
    </i>
    <i r="1">
      <x v="3"/>
      <x v="51"/>
    </i>
    <i r="1">
      <x v="4"/>
      <x v="122"/>
    </i>
    <i r="1">
      <x v="5"/>
      <x v="115"/>
    </i>
    <i r="1">
      <x v="6"/>
      <x v="3"/>
    </i>
    <i r="2">
      <x v="105"/>
    </i>
    <i r="1">
      <x v="8"/>
      <x v="1"/>
    </i>
    <i r="2">
      <x v="80"/>
    </i>
    <i r="1">
      <x v="10"/>
      <x v="30"/>
    </i>
    <i r="2">
      <x v="113"/>
    </i>
    <i r="1">
      <x v="12"/>
      <x v="12"/>
    </i>
    <i r="2">
      <x v="99"/>
    </i>
    <i r="1">
      <x v="14"/>
      <x v="71"/>
    </i>
    <i r="2">
      <x v="92"/>
    </i>
    <i r="1">
      <x v="16"/>
      <x v="104"/>
    </i>
    <i r="1">
      <x v="17"/>
      <x v="11"/>
    </i>
    <i r="1">
      <x v="18"/>
      <x v="97"/>
    </i>
    <i r="1">
      <x v="19"/>
      <x v="13"/>
    </i>
    <i r="2">
      <x v="79"/>
    </i>
    <i t="blank">
      <x v="32"/>
    </i>
    <i>
      <x v="33"/>
    </i>
    <i r="1">
      <x/>
      <x v="106"/>
    </i>
    <i r="1">
      <x v="1"/>
      <x v="1"/>
    </i>
    <i r="1">
      <x v="2"/>
      <x v="105"/>
    </i>
    <i r="1">
      <x v="3"/>
      <x v="81"/>
    </i>
    <i r="1">
      <x v="4"/>
      <x v="115"/>
    </i>
    <i r="1">
      <x v="5"/>
      <x v="97"/>
    </i>
    <i r="1">
      <x v="6"/>
      <x v="122"/>
    </i>
    <i r="1">
      <x v="7"/>
      <x v="113"/>
    </i>
    <i r="1">
      <x v="8"/>
      <x v="99"/>
    </i>
    <i r="1">
      <x v="9"/>
      <x v="66"/>
    </i>
    <i r="2">
      <x v="79"/>
    </i>
    <i r="2">
      <x v="101"/>
    </i>
    <i r="1">
      <x v="12"/>
      <x v="77"/>
    </i>
    <i r="1">
      <x v="13"/>
      <x v="3"/>
    </i>
    <i r="2">
      <x v="71"/>
    </i>
    <i r="1">
      <x v="15"/>
      <x v="4"/>
    </i>
    <i r="1">
      <x v="16"/>
      <x v="112"/>
    </i>
    <i r="1">
      <x v="17"/>
      <x v="80"/>
    </i>
    <i r="2">
      <x v="100"/>
    </i>
    <i r="1">
      <x v="19"/>
      <x v="57"/>
    </i>
    <i r="2">
      <x v="104"/>
    </i>
    <i t="blank">
      <x v="33"/>
    </i>
    <i>
      <x v="34"/>
    </i>
    <i r="1">
      <x/>
      <x v="106"/>
    </i>
    <i r="1">
      <x v="1"/>
      <x v="81"/>
    </i>
    <i r="1">
      <x v="2"/>
      <x v="67"/>
    </i>
    <i r="1">
      <x v="3"/>
      <x v="115"/>
    </i>
    <i r="1">
      <x v="4"/>
      <x v="66"/>
    </i>
    <i r="1">
      <x v="5"/>
      <x v="1"/>
    </i>
    <i r="1">
      <x v="6"/>
      <x v="105"/>
    </i>
    <i r="1">
      <x v="7"/>
      <x v="92"/>
    </i>
    <i r="2">
      <x v="113"/>
    </i>
    <i r="1">
      <x v="9"/>
      <x v="77"/>
    </i>
    <i r="1">
      <x v="10"/>
      <x v="12"/>
    </i>
    <i r="2">
      <x v="71"/>
    </i>
    <i r="1">
      <x v="12"/>
      <x v="3"/>
    </i>
    <i r="2">
      <x v="80"/>
    </i>
    <i r="1">
      <x v="14"/>
      <x v="79"/>
    </i>
    <i r="1">
      <x v="15"/>
      <x v="13"/>
    </i>
    <i r="2">
      <x v="55"/>
    </i>
    <i r="2">
      <x v="104"/>
    </i>
    <i r="1">
      <x v="18"/>
      <x v="57"/>
    </i>
    <i r="2">
      <x v="101"/>
    </i>
    <i t="blank">
      <x v="34"/>
    </i>
    <i>
      <x v="35"/>
    </i>
    <i r="1">
      <x/>
      <x v="106"/>
    </i>
    <i r="1">
      <x v="1"/>
      <x v="81"/>
    </i>
    <i r="1">
      <x v="2"/>
      <x v="67"/>
    </i>
    <i r="1">
      <x v="3"/>
      <x v="115"/>
    </i>
    <i r="1">
      <x v="4"/>
      <x v="105"/>
    </i>
    <i r="1">
      <x v="5"/>
      <x v="99"/>
    </i>
    <i r="1">
      <x v="6"/>
      <x v="1"/>
    </i>
    <i r="2">
      <x v="3"/>
    </i>
    <i r="2">
      <x v="113"/>
    </i>
    <i r="1">
      <x v="9"/>
      <x v="103"/>
    </i>
    <i r="1">
      <x v="10"/>
      <x v="4"/>
    </i>
    <i r="1">
      <x v="11"/>
      <x v="122"/>
    </i>
    <i r="1">
      <x v="12"/>
      <x v="97"/>
    </i>
    <i r="1">
      <x v="13"/>
      <x v="100"/>
    </i>
    <i r="1">
      <x v="14"/>
      <x v="12"/>
    </i>
    <i r="2">
      <x v="13"/>
    </i>
    <i r="2">
      <x v="77"/>
    </i>
    <i r="1">
      <x v="17"/>
      <x v="65"/>
    </i>
    <i r="2">
      <x v="71"/>
    </i>
    <i r="2">
      <x v="80"/>
    </i>
    <i r="2">
      <x v="101"/>
    </i>
    <i t="blank">
      <x v="35"/>
    </i>
    <i>
      <x v="36"/>
    </i>
    <i r="1">
      <x/>
      <x v="106"/>
    </i>
    <i r="1">
      <x v="1"/>
      <x v="115"/>
    </i>
    <i r="1">
      <x v="2"/>
      <x v="105"/>
    </i>
    <i r="1">
      <x v="3"/>
      <x v="1"/>
    </i>
    <i r="2">
      <x v="113"/>
    </i>
    <i r="1">
      <x v="5"/>
      <x v="4"/>
    </i>
    <i r="1">
      <x v="6"/>
      <x v="97"/>
    </i>
    <i r="1">
      <x v="7"/>
      <x v="65"/>
    </i>
    <i r="1">
      <x v="8"/>
      <x v="79"/>
    </i>
    <i r="2">
      <x v="99"/>
    </i>
    <i r="1">
      <x v="10"/>
      <x v="66"/>
    </i>
    <i r="1">
      <x v="11"/>
      <x v="57"/>
    </i>
    <i r="2">
      <x v="67"/>
    </i>
    <i r="2">
      <x v="71"/>
    </i>
    <i r="1">
      <x v="14"/>
      <x v="3"/>
    </i>
    <i r="2">
      <x v="101"/>
    </i>
    <i r="2">
      <x v="122"/>
    </i>
    <i r="1">
      <x v="17"/>
      <x v="12"/>
    </i>
    <i r="2">
      <x v="13"/>
    </i>
    <i r="2">
      <x v="80"/>
    </i>
    <i t="blank">
      <x v="36"/>
    </i>
    <i>
      <x v="37"/>
    </i>
    <i r="1">
      <x/>
      <x v="106"/>
    </i>
    <i r="1">
      <x v="1"/>
      <x v="99"/>
    </i>
    <i r="1">
      <x v="2"/>
      <x v="97"/>
    </i>
    <i r="1">
      <x v="3"/>
      <x v="67"/>
    </i>
    <i r="1">
      <x v="4"/>
      <x v="1"/>
    </i>
    <i r="2">
      <x v="105"/>
    </i>
    <i r="1">
      <x v="6"/>
      <x v="71"/>
    </i>
    <i r="2">
      <x v="77"/>
    </i>
    <i r="1">
      <x v="8"/>
      <x v="4"/>
    </i>
    <i r="1">
      <x v="9"/>
      <x v="122"/>
    </i>
    <i r="1">
      <x v="10"/>
      <x v="66"/>
    </i>
    <i r="1">
      <x v="11"/>
      <x v="3"/>
    </i>
    <i r="1">
      <x v="12"/>
      <x v="65"/>
    </i>
    <i r="2">
      <x v="81"/>
    </i>
    <i r="2">
      <x v="104"/>
    </i>
    <i r="2">
      <x v="115"/>
    </i>
    <i r="1">
      <x v="16"/>
      <x v="101"/>
    </i>
    <i r="1">
      <x v="17"/>
      <x v="10"/>
    </i>
    <i r="2">
      <x v="13"/>
    </i>
    <i r="2">
      <x v="17"/>
    </i>
    <i r="2">
      <x v="20"/>
    </i>
    <i r="2">
      <x v="57"/>
    </i>
    <i r="2">
      <x v="100"/>
    </i>
    <i t="blank">
      <x v="37"/>
    </i>
    <i>
      <x v="38"/>
    </i>
    <i r="1">
      <x/>
      <x v="106"/>
    </i>
    <i r="1">
      <x v="1"/>
      <x v="105"/>
    </i>
    <i r="1">
      <x v="2"/>
      <x v="1"/>
    </i>
    <i r="1">
      <x v="3"/>
      <x v="67"/>
    </i>
    <i r="2">
      <x v="97"/>
    </i>
    <i r="1">
      <x v="5"/>
      <x v="3"/>
    </i>
    <i r="2">
      <x v="122"/>
    </i>
    <i r="1">
      <x v="7"/>
      <x v="66"/>
    </i>
    <i r="2">
      <x v="73"/>
    </i>
    <i r="1">
      <x v="9"/>
      <x v="64"/>
    </i>
    <i r="2">
      <x v="81"/>
    </i>
    <i r="2">
      <x v="92"/>
    </i>
    <i r="1">
      <x v="12"/>
      <x v="13"/>
    </i>
    <i r="2">
      <x v="115"/>
    </i>
    <i r="1">
      <x v="14"/>
      <x v="12"/>
    </i>
    <i r="2">
      <x v="71"/>
    </i>
    <i r="1">
      <x v="16"/>
      <x v="14"/>
    </i>
    <i r="2">
      <x v="41"/>
    </i>
    <i r="2">
      <x v="68"/>
    </i>
    <i r="2">
      <x v="72"/>
    </i>
    <i r="2">
      <x v="99"/>
    </i>
    <i r="2">
      <x v="107"/>
    </i>
    <i t="blank">
      <x v="38"/>
    </i>
    <i>
      <x v="39"/>
    </i>
    <i r="1">
      <x/>
      <x v="106"/>
    </i>
    <i r="1">
      <x v="1"/>
      <x v="1"/>
    </i>
    <i r="1">
      <x v="2"/>
      <x v="105"/>
    </i>
    <i r="1">
      <x v="3"/>
      <x v="122"/>
    </i>
    <i r="1">
      <x v="4"/>
      <x v="71"/>
    </i>
    <i r="1">
      <x v="5"/>
      <x v="67"/>
    </i>
    <i r="2">
      <x v="99"/>
    </i>
    <i r="1">
      <x v="7"/>
      <x v="4"/>
    </i>
    <i r="2">
      <x v="66"/>
    </i>
    <i r="2">
      <x v="115"/>
    </i>
    <i r="1">
      <x v="10"/>
      <x v="77"/>
    </i>
    <i r="1">
      <x v="11"/>
      <x v="97"/>
    </i>
    <i r="1">
      <x v="12"/>
      <x v="73"/>
    </i>
    <i r="1">
      <x v="13"/>
      <x v="3"/>
    </i>
    <i r="2">
      <x v="117"/>
    </i>
    <i r="1">
      <x v="15"/>
      <x v="64"/>
    </i>
    <i r="2">
      <x v="81"/>
    </i>
    <i r="2">
      <x v="104"/>
    </i>
    <i r="2">
      <x v="118"/>
    </i>
    <i r="1">
      <x v="19"/>
      <x v="68"/>
    </i>
    <i r="2">
      <x v="100"/>
    </i>
    <i r="2">
      <x v="114"/>
    </i>
    <i t="blank">
      <x v="39"/>
    </i>
    <i>
      <x v="40"/>
    </i>
    <i r="1">
      <x/>
      <x v="106"/>
    </i>
    <i r="1">
      <x v="1"/>
      <x v="105"/>
    </i>
    <i r="1">
      <x v="2"/>
      <x v="1"/>
    </i>
    <i r="1">
      <x v="3"/>
      <x v="71"/>
    </i>
    <i r="1">
      <x v="4"/>
      <x v="67"/>
    </i>
    <i r="1">
      <x v="5"/>
      <x v="77"/>
    </i>
    <i r="2">
      <x v="81"/>
    </i>
    <i r="1">
      <x v="7"/>
      <x v="100"/>
    </i>
    <i r="1">
      <x v="8"/>
      <x v="4"/>
    </i>
    <i r="2">
      <x v="97"/>
    </i>
    <i r="1">
      <x v="10"/>
      <x v="99"/>
    </i>
    <i r="1">
      <x v="11"/>
      <x v="122"/>
    </i>
    <i r="1">
      <x v="12"/>
      <x v="65"/>
    </i>
    <i r="1">
      <x v="13"/>
      <x v="115"/>
    </i>
    <i r="1">
      <x v="14"/>
      <x v="12"/>
    </i>
    <i r="2">
      <x v="66"/>
    </i>
    <i r="1">
      <x v="16"/>
      <x v="68"/>
    </i>
    <i r="1">
      <x v="17"/>
      <x v="3"/>
    </i>
    <i r="1">
      <x v="18"/>
      <x v="64"/>
    </i>
    <i r="1">
      <x v="19"/>
      <x v="11"/>
    </i>
    <i r="2">
      <x v="57"/>
    </i>
    <i r="2">
      <x v="73"/>
    </i>
    <i r="2">
      <x v="92"/>
    </i>
    <i r="2">
      <x v="104"/>
    </i>
    <i t="blank">
      <x v="40"/>
    </i>
    <i>
      <x v="41"/>
    </i>
    <i r="1">
      <x/>
      <x v="106"/>
    </i>
    <i r="1">
      <x v="1"/>
      <x v="1"/>
    </i>
    <i r="1">
      <x v="2"/>
      <x v="4"/>
    </i>
    <i r="1">
      <x v="3"/>
      <x v="67"/>
    </i>
    <i r="2">
      <x v="105"/>
    </i>
    <i r="1">
      <x v="5"/>
      <x v="115"/>
    </i>
    <i r="1">
      <x v="6"/>
      <x v="81"/>
    </i>
    <i r="1">
      <x v="7"/>
      <x v="66"/>
    </i>
    <i r="1">
      <x v="8"/>
      <x v="77"/>
    </i>
    <i r="2">
      <x v="122"/>
    </i>
    <i r="1">
      <x v="10"/>
      <x v="3"/>
    </i>
    <i r="1">
      <x v="11"/>
      <x v="12"/>
    </i>
    <i r="2">
      <x v="65"/>
    </i>
    <i r="2">
      <x v="113"/>
    </i>
    <i r="1">
      <x v="14"/>
      <x v="11"/>
    </i>
    <i r="2">
      <x v="71"/>
    </i>
    <i r="2">
      <x v="73"/>
    </i>
    <i r="1">
      <x v="17"/>
      <x v="64"/>
    </i>
    <i r="1">
      <x v="18"/>
      <x v="48"/>
    </i>
    <i r="2">
      <x v="57"/>
    </i>
    <i r="2">
      <x v="72"/>
    </i>
    <i r="2">
      <x v="80"/>
    </i>
    <i r="2">
      <x v="97"/>
    </i>
    <i r="2">
      <x v="99"/>
    </i>
    <i r="2">
      <x v="112"/>
    </i>
    <i t="blank">
      <x v="41"/>
    </i>
    <i>
      <x v="42"/>
    </i>
    <i r="1">
      <x/>
      <x v="106"/>
    </i>
    <i r="1">
      <x v="1"/>
      <x v="97"/>
    </i>
    <i r="1">
      <x v="2"/>
      <x v="105"/>
    </i>
    <i r="1">
      <x v="3"/>
      <x v="1"/>
    </i>
    <i r="1">
      <x v="4"/>
      <x v="115"/>
    </i>
    <i r="1">
      <x v="5"/>
      <x v="65"/>
    </i>
    <i r="1">
      <x v="6"/>
      <x v="67"/>
    </i>
    <i r="1">
      <x v="7"/>
      <x v="113"/>
    </i>
    <i r="1">
      <x v="8"/>
      <x v="66"/>
    </i>
    <i r="1">
      <x v="9"/>
      <x v="4"/>
    </i>
    <i r="1">
      <x v="10"/>
      <x v="77"/>
    </i>
    <i r="2">
      <x v="81"/>
    </i>
    <i r="1">
      <x v="12"/>
      <x v="3"/>
    </i>
    <i r="2">
      <x v="12"/>
    </i>
    <i r="2">
      <x v="71"/>
    </i>
    <i r="1">
      <x v="15"/>
      <x v="99"/>
    </i>
    <i r="1">
      <x v="16"/>
      <x v="13"/>
    </i>
    <i r="1">
      <x v="17"/>
      <x v="100"/>
    </i>
    <i r="1">
      <x v="18"/>
      <x v="40"/>
    </i>
    <i r="1">
      <x v="19"/>
      <x v="92"/>
    </i>
    <i r="2">
      <x v="122"/>
    </i>
    <i t="blank">
      <x v="42"/>
    </i>
    <i>
      <x v="43"/>
    </i>
    <i r="1">
      <x/>
      <x v="106"/>
    </i>
    <i r="1">
      <x v="1"/>
      <x v="67"/>
    </i>
    <i r="1">
      <x v="2"/>
      <x v="11"/>
    </i>
    <i r="2">
      <x v="122"/>
    </i>
    <i r="1">
      <x v="4"/>
      <x v="12"/>
    </i>
    <i r="1">
      <x v="5"/>
      <x v="1"/>
    </i>
    <i r="1">
      <x v="6"/>
      <x v="10"/>
    </i>
    <i r="2">
      <x v="97"/>
    </i>
    <i r="1">
      <x v="8"/>
      <x v="4"/>
    </i>
    <i r="2">
      <x v="105"/>
    </i>
    <i r="2">
      <x v="113"/>
    </i>
    <i r="1">
      <x v="11"/>
      <x v="3"/>
    </i>
    <i r="2">
      <x v="81"/>
    </i>
    <i r="1">
      <x v="13"/>
      <x v="36"/>
    </i>
    <i r="1">
      <x v="14"/>
      <x v="99"/>
    </i>
    <i r="1">
      <x v="15"/>
      <x v="77"/>
    </i>
    <i r="2">
      <x v="104"/>
    </i>
    <i r="1">
      <x v="17"/>
      <x v="5"/>
    </i>
    <i r="2">
      <x v="9"/>
    </i>
    <i r="1">
      <x v="19"/>
      <x v="71"/>
    </i>
    <i r="2">
      <x v="92"/>
    </i>
    <i r="2">
      <x v="100"/>
    </i>
    <i t="blank">
      <x v="43"/>
    </i>
    <i>
      <x v="44"/>
    </i>
    <i r="1">
      <x/>
      <x v="13"/>
    </i>
    <i r="1">
      <x v="1"/>
      <x v="106"/>
    </i>
    <i r="1">
      <x v="2"/>
      <x v="1"/>
    </i>
    <i r="2">
      <x v="67"/>
    </i>
    <i r="1">
      <x v="4"/>
      <x v="30"/>
    </i>
    <i r="2">
      <x v="81"/>
    </i>
    <i r="1">
      <x v="6"/>
      <x v="105"/>
    </i>
    <i r="2">
      <x v="113"/>
    </i>
    <i r="1">
      <x v="8"/>
      <x v="10"/>
    </i>
    <i r="2">
      <x v="92"/>
    </i>
    <i r="1">
      <x v="10"/>
      <x v="4"/>
    </i>
    <i r="2">
      <x v="5"/>
    </i>
    <i r="1">
      <x v="12"/>
      <x v="3"/>
    </i>
    <i r="2">
      <x v="122"/>
    </i>
    <i r="1">
      <x v="14"/>
      <x v="11"/>
    </i>
    <i r="2">
      <x v="40"/>
    </i>
    <i r="1">
      <x v="16"/>
      <x v="9"/>
    </i>
    <i r="2">
      <x v="12"/>
    </i>
    <i r="2">
      <x v="23"/>
    </i>
    <i r="1">
      <x v="19"/>
      <x v="36"/>
    </i>
    <i t="blank">
      <x v="44"/>
    </i>
    <i>
      <x v="45"/>
    </i>
    <i r="1">
      <x/>
      <x v="106"/>
    </i>
    <i r="1">
      <x v="1"/>
      <x v="81"/>
    </i>
    <i r="1">
      <x v="2"/>
      <x v="77"/>
    </i>
    <i r="2">
      <x v="105"/>
    </i>
    <i r="1">
      <x v="4"/>
      <x v="4"/>
    </i>
    <i r="1">
      <x v="5"/>
      <x v="1"/>
    </i>
    <i r="2">
      <x v="67"/>
    </i>
    <i r="2">
      <x v="115"/>
    </i>
    <i r="1">
      <x v="8"/>
      <x v="3"/>
    </i>
    <i r="2">
      <x v="97"/>
    </i>
    <i r="1">
      <x v="10"/>
      <x v="66"/>
    </i>
    <i r="2">
      <x v="71"/>
    </i>
    <i r="2">
      <x v="99"/>
    </i>
    <i r="2">
      <x v="104"/>
    </i>
    <i r="2">
      <x v="112"/>
    </i>
    <i r="1">
      <x v="15"/>
      <x v="10"/>
    </i>
    <i r="2">
      <x v="13"/>
    </i>
    <i r="2">
      <x v="98"/>
    </i>
    <i r="2">
      <x v="122"/>
    </i>
    <i r="1">
      <x v="19"/>
      <x v="12"/>
    </i>
    <i r="2">
      <x v="41"/>
    </i>
    <i r="2">
      <x v="57"/>
    </i>
    <i r="2">
      <x v="65"/>
    </i>
    <i r="2">
      <x v="83"/>
    </i>
    <i r="2">
      <x v="94"/>
    </i>
    <i r="2">
      <x v="96"/>
    </i>
    <i t="blank">
      <x v="45"/>
    </i>
    <i>
      <x v="46"/>
    </i>
    <i r="1">
      <x/>
      <x v="81"/>
    </i>
    <i r="1">
      <x v="1"/>
      <x v="106"/>
    </i>
    <i r="1">
      <x v="2"/>
      <x v="97"/>
    </i>
    <i r="1">
      <x v="3"/>
      <x v="67"/>
    </i>
    <i r="2">
      <x v="99"/>
    </i>
    <i r="1">
      <x v="5"/>
      <x v="80"/>
    </i>
    <i r="1">
      <x v="6"/>
      <x v="100"/>
    </i>
    <i r="1">
      <x v="7"/>
      <x v="71"/>
    </i>
    <i r="1">
      <x v="8"/>
      <x v="66"/>
    </i>
    <i r="2">
      <x v="122"/>
    </i>
    <i r="1">
      <x v="10"/>
      <x v="105"/>
    </i>
    <i r="2">
      <x v="115"/>
    </i>
    <i r="1">
      <x v="12"/>
      <x v="11"/>
    </i>
    <i r="2">
      <x v="12"/>
    </i>
    <i r="2">
      <x v="30"/>
    </i>
    <i r="2">
      <x v="68"/>
    </i>
    <i r="1">
      <x v="16"/>
      <x v="13"/>
    </i>
    <i r="1">
      <x v="17"/>
      <x v="77"/>
    </i>
    <i r="2">
      <x v="79"/>
    </i>
    <i r="1">
      <x v="19"/>
      <x v="1"/>
    </i>
    <i r="2">
      <x v="104"/>
    </i>
    <i r="2">
      <x v="113"/>
    </i>
    <i t="blank">
      <x v="46"/>
    </i>
    <i>
      <x v="47"/>
    </i>
    <i r="1">
      <x/>
      <x v="30"/>
    </i>
    <i r="1">
      <x v="1"/>
      <x v="13"/>
    </i>
    <i r="1">
      <x v="2"/>
      <x v="12"/>
    </i>
    <i r="2">
      <x v="67"/>
    </i>
    <i r="2">
      <x v="122"/>
    </i>
    <i r="1">
      <x v="5"/>
      <x v="23"/>
    </i>
    <i r="2">
      <x v="106"/>
    </i>
    <i r="1">
      <x v="7"/>
      <x v="36"/>
    </i>
    <i r="2">
      <x v="41"/>
    </i>
    <i r="1">
      <x v="9"/>
      <x v="3"/>
    </i>
    <i r="2">
      <x v="78"/>
    </i>
    <i r="2">
      <x v="81"/>
    </i>
    <i r="2">
      <x v="115"/>
    </i>
    <i r="1">
      <x v="13"/>
      <x v="1"/>
    </i>
    <i r="2">
      <x v="4"/>
    </i>
    <i r="2">
      <x v="10"/>
    </i>
    <i r="2">
      <x v="11"/>
    </i>
    <i r="2">
      <x v="40"/>
    </i>
    <i r="2">
      <x v="105"/>
    </i>
    <i r="1">
      <x v="19"/>
      <x v="71"/>
    </i>
    <i r="2">
      <x v="113"/>
    </i>
    <i t="blank">
      <x v="47"/>
    </i>
    <i>
      <x v="48"/>
    </i>
    <i r="1">
      <x/>
      <x v="81"/>
    </i>
    <i r="1">
      <x v="1"/>
      <x v="80"/>
    </i>
    <i r="1">
      <x v="2"/>
      <x v="67"/>
    </i>
    <i r="1">
      <x v="3"/>
      <x v="106"/>
    </i>
    <i r="1">
      <x v="4"/>
      <x v="1"/>
    </i>
    <i r="1">
      <x v="5"/>
      <x v="71"/>
    </i>
    <i r="1">
      <x v="6"/>
      <x v="13"/>
    </i>
    <i r="2">
      <x v="41"/>
    </i>
    <i r="2">
      <x v="79"/>
    </i>
    <i r="2">
      <x v="99"/>
    </i>
    <i r="1">
      <x v="10"/>
      <x v="66"/>
    </i>
    <i r="2">
      <x v="73"/>
    </i>
    <i r="2">
      <x v="105"/>
    </i>
    <i r="2">
      <x v="113"/>
    </i>
    <i r="2">
      <x v="122"/>
    </i>
    <i r="1">
      <x v="15"/>
      <x v="3"/>
    </i>
    <i r="2">
      <x v="11"/>
    </i>
    <i r="2">
      <x v="12"/>
    </i>
    <i r="2">
      <x v="48"/>
    </i>
    <i r="2">
      <x v="78"/>
    </i>
    <i r="2">
      <x v="109"/>
    </i>
    <i r="2">
      <x v="115"/>
    </i>
    <i t="blank">
      <x v="48"/>
    </i>
    <i>
      <x v="49"/>
    </i>
    <i r="1">
      <x/>
      <x v="67"/>
    </i>
    <i r="1">
      <x v="1"/>
      <x v="1"/>
    </i>
    <i r="1">
      <x v="2"/>
      <x v="96"/>
    </i>
    <i r="2">
      <x v="97"/>
    </i>
    <i r="2">
      <x v="122"/>
    </i>
    <i r="1">
      <x v="5"/>
      <x v="3"/>
    </i>
    <i r="2">
      <x v="65"/>
    </i>
    <i r="1">
      <x v="7"/>
      <x v="6"/>
    </i>
    <i r="2">
      <x v="13"/>
    </i>
    <i r="2">
      <x v="55"/>
    </i>
    <i r="2">
      <x v="76"/>
    </i>
    <i r="2">
      <x v="115"/>
    </i>
    <i r="1">
      <x v="12"/>
      <x v="12"/>
    </i>
    <i r="2">
      <x v="50"/>
    </i>
    <i r="2">
      <x v="66"/>
    </i>
    <i r="2">
      <x v="109"/>
    </i>
    <i r="2">
      <x v="110"/>
    </i>
    <i r="1">
      <x v="17"/>
      <x/>
    </i>
    <i r="2">
      <x v="4"/>
    </i>
    <i r="2">
      <x v="11"/>
    </i>
    <i r="2">
      <x v="14"/>
    </i>
    <i r="2">
      <x v="16"/>
    </i>
    <i r="2">
      <x v="26"/>
    </i>
    <i r="2">
      <x v="30"/>
    </i>
    <i r="2">
      <x v="36"/>
    </i>
    <i r="2">
      <x v="41"/>
    </i>
    <i r="2">
      <x v="42"/>
    </i>
    <i r="2">
      <x v="43"/>
    </i>
    <i r="2">
      <x v="44"/>
    </i>
    <i r="2">
      <x v="45"/>
    </i>
    <i r="2">
      <x v="48"/>
    </i>
    <i r="2">
      <x v="51"/>
    </i>
    <i r="2">
      <x v="57"/>
    </i>
    <i r="2">
      <x v="58"/>
    </i>
    <i r="2">
      <x v="68"/>
    </i>
    <i r="2">
      <x v="69"/>
    </i>
    <i r="2">
      <x v="71"/>
    </i>
    <i r="2">
      <x v="75"/>
    </i>
    <i r="2">
      <x v="77"/>
    </i>
    <i r="2">
      <x v="80"/>
    </i>
    <i r="2">
      <x v="81"/>
    </i>
    <i r="2">
      <x v="84"/>
    </i>
    <i r="2">
      <x v="98"/>
    </i>
    <i r="2">
      <x v="99"/>
    </i>
    <i r="2">
      <x v="102"/>
    </i>
    <i r="2">
      <x v="105"/>
    </i>
    <i r="2">
      <x v="114"/>
    </i>
    <i r="2">
      <x v="118"/>
    </i>
    <i r="2">
      <x v="124"/>
    </i>
    <i r="2">
      <x v="126"/>
    </i>
    <i t="blank">
      <x v="49"/>
    </i>
    <i>
      <x v="50"/>
    </i>
    <i r="1">
      <x/>
      <x v="81"/>
    </i>
    <i r="1">
      <x v="1"/>
      <x v="67"/>
    </i>
    <i r="1">
      <x v="2"/>
      <x v="106"/>
    </i>
    <i r="1">
      <x v="3"/>
      <x v="57"/>
    </i>
    <i r="1">
      <x v="4"/>
      <x v="13"/>
    </i>
    <i r="1">
      <x v="5"/>
      <x v="3"/>
    </i>
    <i r="2">
      <x v="55"/>
    </i>
    <i r="2">
      <x v="105"/>
    </i>
    <i r="2">
      <x v="115"/>
    </i>
    <i r="1">
      <x v="9"/>
      <x v="122"/>
    </i>
    <i r="1">
      <x v="10"/>
      <x v="77"/>
    </i>
    <i r="2">
      <x v="80"/>
    </i>
    <i r="2">
      <x v="113"/>
    </i>
    <i r="1">
      <x v="13"/>
      <x v="1"/>
    </i>
    <i r="2">
      <x v="71"/>
    </i>
    <i r="1">
      <x v="15"/>
      <x v="99"/>
    </i>
    <i r="2">
      <x v="104"/>
    </i>
    <i r="1">
      <x v="17"/>
      <x v="97"/>
    </i>
    <i r="2">
      <x v="109"/>
    </i>
    <i r="1">
      <x v="19"/>
      <x v="10"/>
    </i>
    <i r="2">
      <x v="12"/>
    </i>
    <i r="2">
      <x v="41"/>
    </i>
    <i r="2">
      <x v="47"/>
    </i>
    <i r="2">
      <x v="53"/>
    </i>
    <i r="2">
      <x v="58"/>
    </i>
    <i r="2">
      <x v="79"/>
    </i>
    <i t="blank">
      <x v="50"/>
    </i>
    <i>
      <x v="51"/>
    </i>
    <i r="1">
      <x/>
      <x v="100"/>
    </i>
    <i r="1">
      <x v="1"/>
      <x v="1"/>
    </i>
    <i r="1">
      <x v="2"/>
      <x v="106"/>
    </i>
    <i r="1">
      <x v="3"/>
      <x v="105"/>
    </i>
    <i r="1">
      <x v="4"/>
      <x v="99"/>
    </i>
    <i r="1">
      <x v="5"/>
      <x v="81"/>
    </i>
    <i r="1">
      <x v="6"/>
      <x v="13"/>
    </i>
    <i r="2">
      <x v="67"/>
    </i>
    <i r="1">
      <x v="8"/>
      <x v="71"/>
    </i>
    <i r="1">
      <x v="9"/>
      <x v="12"/>
    </i>
    <i r="1">
      <x v="10"/>
      <x v="97"/>
    </i>
    <i r="1">
      <x v="11"/>
      <x v="4"/>
    </i>
    <i r="2">
      <x v="77"/>
    </i>
    <i r="2">
      <x v="118"/>
    </i>
    <i r="2">
      <x v="122"/>
    </i>
    <i r="1">
      <x v="15"/>
      <x v="3"/>
    </i>
    <i r="2">
      <x v="75"/>
    </i>
    <i r="1">
      <x v="17"/>
      <x v="9"/>
    </i>
    <i r="2">
      <x v="64"/>
    </i>
    <i r="2">
      <x v="65"/>
    </i>
    <i r="2">
      <x v="66"/>
    </i>
    <i t="blank">
      <x v="51"/>
    </i>
    <i>
      <x v="52"/>
    </i>
    <i r="1">
      <x/>
      <x v="1"/>
    </i>
    <i r="1">
      <x v="1"/>
      <x v="106"/>
    </i>
    <i r="1">
      <x v="2"/>
      <x v="81"/>
    </i>
    <i r="1">
      <x v="3"/>
      <x v="105"/>
    </i>
    <i r="2">
      <x v="122"/>
    </i>
    <i r="1">
      <x v="5"/>
      <x v="67"/>
    </i>
    <i r="1">
      <x v="6"/>
      <x v="113"/>
    </i>
    <i r="1">
      <x v="7"/>
      <x v="115"/>
    </i>
    <i r="1">
      <x v="8"/>
      <x v="97"/>
    </i>
    <i r="1">
      <x v="9"/>
      <x v="3"/>
    </i>
    <i r="2">
      <x v="12"/>
    </i>
    <i r="1">
      <x v="11"/>
      <x v="99"/>
    </i>
    <i r="1">
      <x v="12"/>
      <x v="13"/>
    </i>
    <i r="2">
      <x v="77"/>
    </i>
    <i r="2">
      <x v="100"/>
    </i>
    <i r="1">
      <x v="15"/>
      <x v="66"/>
    </i>
    <i r="1">
      <x v="16"/>
      <x v="4"/>
    </i>
    <i r="2">
      <x v="68"/>
    </i>
    <i r="1">
      <x v="18"/>
      <x v="64"/>
    </i>
    <i r="2">
      <x v="71"/>
    </i>
    <i r="2">
      <x v="112"/>
    </i>
    <i t="blank">
      <x v="52"/>
    </i>
    <i>
      <x v="53"/>
    </i>
    <i r="1">
      <x/>
      <x v="106"/>
    </i>
    <i r="1">
      <x v="1"/>
      <x v="105"/>
    </i>
    <i r="1">
      <x v="2"/>
      <x v="1"/>
    </i>
    <i r="1">
      <x v="3"/>
      <x v="113"/>
    </i>
    <i r="1">
      <x v="4"/>
      <x v="13"/>
    </i>
    <i r="1">
      <x v="5"/>
      <x v="12"/>
    </i>
    <i r="2">
      <x v="71"/>
    </i>
    <i r="1">
      <x v="7"/>
      <x v="5"/>
    </i>
    <i r="2">
      <x v="67"/>
    </i>
    <i r="2">
      <x v="99"/>
    </i>
    <i r="2">
      <x v="122"/>
    </i>
    <i r="1">
      <x v="11"/>
      <x v="66"/>
    </i>
    <i r="1">
      <x v="12"/>
      <x v="3"/>
    </i>
    <i r="2">
      <x v="11"/>
    </i>
    <i r="2">
      <x v="81"/>
    </i>
    <i r="2">
      <x v="97"/>
    </i>
    <i r="1">
      <x v="16"/>
      <x v="9"/>
    </i>
    <i r="2">
      <x v="100"/>
    </i>
    <i r="2">
      <x v="112"/>
    </i>
    <i r="2">
      <x v="115"/>
    </i>
    <i t="blank">
      <x v="53"/>
    </i>
    <i>
      <x v="54"/>
    </i>
    <i r="1">
      <x/>
      <x v="122"/>
    </i>
    <i r="1">
      <x v="1"/>
      <x v="1"/>
    </i>
    <i r="1">
      <x v="2"/>
      <x v="106"/>
    </i>
    <i r="1">
      <x v="3"/>
      <x v="100"/>
    </i>
    <i r="1">
      <x v="4"/>
      <x v="67"/>
    </i>
    <i r="1">
      <x v="5"/>
      <x v="115"/>
    </i>
    <i r="1">
      <x v="6"/>
      <x v="97"/>
    </i>
    <i r="2">
      <x v="105"/>
    </i>
    <i r="1">
      <x v="8"/>
      <x v="3"/>
    </i>
    <i r="2">
      <x v="81"/>
    </i>
    <i r="2">
      <x v="101"/>
    </i>
    <i r="1">
      <x v="11"/>
      <x v="11"/>
    </i>
    <i r="2">
      <x v="65"/>
    </i>
    <i r="2">
      <x v="113"/>
    </i>
    <i r="1">
      <x v="14"/>
      <x v="4"/>
    </i>
    <i r="2">
      <x v="13"/>
    </i>
    <i r="2">
      <x v="71"/>
    </i>
    <i r="1">
      <x v="17"/>
      <x v="30"/>
    </i>
    <i r="2">
      <x v="99"/>
    </i>
    <i r="2">
      <x v="104"/>
    </i>
    <i t="blank">
      <x v="54"/>
    </i>
    <i>
      <x v="55"/>
    </i>
    <i r="1">
      <x/>
      <x v="1"/>
    </i>
    <i r="1">
      <x v="1"/>
      <x v="106"/>
    </i>
    <i r="1">
      <x v="2"/>
      <x v="67"/>
    </i>
    <i r="2">
      <x v="118"/>
    </i>
    <i r="1">
      <x v="4"/>
      <x v="13"/>
    </i>
    <i r="1">
      <x v="5"/>
      <x v="30"/>
    </i>
    <i r="2">
      <x v="105"/>
    </i>
    <i r="2">
      <x v="122"/>
    </i>
    <i r="1">
      <x v="8"/>
      <x v="3"/>
    </i>
    <i r="2">
      <x v="66"/>
    </i>
    <i r="2">
      <x v="71"/>
    </i>
    <i r="1">
      <x v="11"/>
      <x v="10"/>
    </i>
    <i r="2">
      <x v="12"/>
    </i>
    <i r="2">
      <x v="25"/>
    </i>
    <i r="2">
      <x v="27"/>
    </i>
    <i r="2">
      <x v="31"/>
    </i>
    <i r="2">
      <x v="32"/>
    </i>
    <i r="2">
      <x v="41"/>
    </i>
    <i r="2">
      <x v="46"/>
    </i>
    <i r="2">
      <x v="50"/>
    </i>
    <i r="2">
      <x v="57"/>
    </i>
    <i r="2">
      <x v="64"/>
    </i>
    <i r="2">
      <x v="65"/>
    </i>
    <i r="2">
      <x v="77"/>
    </i>
    <i r="2">
      <x v="92"/>
    </i>
    <i r="2">
      <x v="125"/>
    </i>
    <i t="blank">
      <x v="55"/>
    </i>
    <i>
      <x v="56"/>
    </i>
    <i r="1">
      <x/>
      <x v="1"/>
    </i>
    <i r="1">
      <x v="1"/>
      <x v="122"/>
    </i>
    <i r="1">
      <x v="2"/>
      <x v="106"/>
    </i>
    <i r="1">
      <x v="3"/>
      <x v="65"/>
    </i>
    <i r="2">
      <x v="67"/>
    </i>
    <i r="2">
      <x v="105"/>
    </i>
    <i r="1">
      <x v="6"/>
      <x v="3"/>
    </i>
    <i r="1">
      <x v="7"/>
      <x v="11"/>
    </i>
    <i r="2">
      <x v="33"/>
    </i>
    <i r="2">
      <x v="99"/>
    </i>
    <i r="1">
      <x v="10"/>
      <x v="5"/>
    </i>
    <i r="2">
      <x v="13"/>
    </i>
    <i r="2">
      <x v="30"/>
    </i>
    <i r="2">
      <x v="34"/>
    </i>
    <i r="2">
      <x v="73"/>
    </i>
    <i r="2">
      <x v="77"/>
    </i>
    <i r="2">
      <x v="104"/>
    </i>
    <i r="2">
      <x v="107"/>
    </i>
    <i r="2">
      <x v="113"/>
    </i>
    <i r="2">
      <x v="115"/>
    </i>
    <i r="2">
      <x v="119"/>
    </i>
    <i t="blank">
      <x v="56"/>
    </i>
    <i>
      <x v="57"/>
    </i>
    <i r="1">
      <x/>
      <x v="106"/>
    </i>
    <i r="1">
      <x v="1"/>
      <x v="97"/>
    </i>
    <i r="1">
      <x v="2"/>
      <x v="1"/>
    </i>
    <i r="1">
      <x v="3"/>
      <x v="82"/>
    </i>
    <i r="1">
      <x v="4"/>
      <x v="4"/>
    </i>
    <i r="2">
      <x v="81"/>
    </i>
    <i r="1">
      <x v="6"/>
      <x v="67"/>
    </i>
    <i r="2">
      <x v="92"/>
    </i>
    <i r="1">
      <x v="8"/>
      <x v="12"/>
    </i>
    <i r="2">
      <x v="99"/>
    </i>
    <i r="2">
      <x v="104"/>
    </i>
    <i r="2">
      <x v="105"/>
    </i>
    <i r="2">
      <x v="115"/>
    </i>
    <i r="2">
      <x v="122"/>
    </i>
    <i r="1">
      <x v="14"/>
      <x v="65"/>
    </i>
    <i r="2">
      <x v="118"/>
    </i>
    <i r="1">
      <x v="16"/>
      <x v="7"/>
    </i>
    <i r="2">
      <x v="13"/>
    </i>
    <i r="2">
      <x v="37"/>
    </i>
    <i r="2">
      <x v="60"/>
    </i>
    <i r="2">
      <x v="66"/>
    </i>
    <i r="2">
      <x v="71"/>
    </i>
    <i r="2">
      <x v="73"/>
    </i>
    <i r="2">
      <x v="101"/>
    </i>
    <i r="2">
      <x v="107"/>
    </i>
    <i t="blank">
      <x v="57"/>
    </i>
    <i>
      <x v="58"/>
    </i>
    <i r="1">
      <x/>
      <x v="67"/>
    </i>
    <i r="1">
      <x v="1"/>
      <x v="1"/>
    </i>
    <i r="1">
      <x v="2"/>
      <x v="106"/>
    </i>
    <i r="1">
      <x v="3"/>
      <x v="105"/>
    </i>
    <i r="1">
      <x v="4"/>
      <x v="115"/>
    </i>
    <i r="1">
      <x v="5"/>
      <x v="13"/>
    </i>
    <i r="2">
      <x v="77"/>
    </i>
    <i r="1">
      <x v="7"/>
      <x v="3"/>
    </i>
    <i r="2">
      <x v="11"/>
    </i>
    <i r="2">
      <x v="12"/>
    </i>
    <i r="2">
      <x v="97"/>
    </i>
    <i r="1">
      <x v="11"/>
      <x v="6"/>
    </i>
    <i r="2">
      <x v="81"/>
    </i>
    <i r="2">
      <x v="122"/>
    </i>
    <i r="1">
      <x v="14"/>
      <x v="66"/>
    </i>
    <i r="2">
      <x v="71"/>
    </i>
    <i r="2">
      <x v="99"/>
    </i>
    <i r="1">
      <x v="17"/>
      <x v="64"/>
    </i>
    <i r="2">
      <x v="68"/>
    </i>
    <i r="2">
      <x v="104"/>
    </i>
    <i t="blank">
      <x v="58"/>
    </i>
    <i>
      <x v="59"/>
    </i>
    <i r="1">
      <x/>
      <x v="28"/>
    </i>
    <i r="1">
      <x v="1"/>
      <x v="70"/>
    </i>
    <i r="1">
      <x v="2"/>
      <x v="1"/>
    </i>
    <i r="2">
      <x v="88"/>
    </i>
    <i r="1">
      <x v="4"/>
      <x v="68"/>
    </i>
    <i r="2">
      <x v="96"/>
    </i>
    <i r="2">
      <x v="97"/>
    </i>
    <i r="2">
      <x v="101"/>
    </i>
    <i r="2">
      <x v="106"/>
    </i>
    <i r="2">
      <x v="122"/>
    </i>
    <i r="1">
      <x v="10"/>
      <x v="3"/>
    </i>
    <i r="2">
      <x v="17"/>
    </i>
    <i r="2">
      <x v="22"/>
    </i>
    <i r="2">
      <x v="40"/>
    </i>
    <i r="2">
      <x v="66"/>
    </i>
    <i r="2">
      <x v="73"/>
    </i>
    <i r="2">
      <x v="77"/>
    </i>
    <i r="2">
      <x v="98"/>
    </i>
    <i r="2">
      <x v="105"/>
    </i>
    <i r="2">
      <x v="113"/>
    </i>
    <i t="blank">
      <x v="59"/>
    </i>
    <i>
      <x v="60"/>
    </i>
    <i r="1">
      <x/>
      <x v="122"/>
    </i>
    <i r="1">
      <x v="1"/>
      <x v="106"/>
    </i>
    <i r="1">
      <x v="2"/>
      <x v="1"/>
    </i>
    <i r="1">
      <x v="3"/>
      <x v="4"/>
    </i>
    <i r="2">
      <x v="67"/>
    </i>
    <i r="1">
      <x v="5"/>
      <x v="113"/>
    </i>
    <i r="1">
      <x v="6"/>
      <x v="12"/>
    </i>
    <i r="1">
      <x v="7"/>
      <x v="55"/>
    </i>
    <i r="2">
      <x v="64"/>
    </i>
    <i r="2">
      <x v="115"/>
    </i>
    <i r="1">
      <x v="10"/>
      <x v="3"/>
    </i>
    <i r="2">
      <x v="41"/>
    </i>
    <i r="2">
      <x v="104"/>
    </i>
    <i r="2">
      <x v="105"/>
    </i>
    <i r="1">
      <x v="14"/>
      <x v="13"/>
    </i>
    <i r="2">
      <x v="71"/>
    </i>
    <i r="2">
      <x v="99"/>
    </i>
    <i r="2">
      <x v="109"/>
    </i>
    <i r="2">
      <x v="127"/>
    </i>
    <i r="1">
      <x v="19"/>
      <x v="6"/>
    </i>
    <i r="2">
      <x v="27"/>
    </i>
    <i r="2">
      <x v="30"/>
    </i>
    <i r="2">
      <x v="46"/>
    </i>
    <i r="2">
      <x v="51"/>
    </i>
    <i r="2">
      <x v="52"/>
    </i>
    <i r="2">
      <x v="62"/>
    </i>
    <i r="2">
      <x v="66"/>
    </i>
    <i r="2">
      <x v="77"/>
    </i>
    <i r="2">
      <x v="81"/>
    </i>
    <i r="2">
      <x v="107"/>
    </i>
    <i r="2">
      <x v="114"/>
    </i>
    <i r="2">
      <x v="117"/>
    </i>
    <i r="2">
      <x v="118"/>
    </i>
    <i t="blank">
      <x v="60"/>
    </i>
    <i>
      <x v="61"/>
    </i>
    <i r="1">
      <x/>
      <x v="81"/>
    </i>
    <i r="1">
      <x v="1"/>
      <x v="67"/>
    </i>
    <i r="1">
      <x v="2"/>
      <x v="35"/>
    </i>
    <i r="1">
      <x v="3"/>
      <x v="105"/>
    </i>
    <i r="2">
      <x v="106"/>
    </i>
    <i r="1">
      <x v="5"/>
      <x v="71"/>
    </i>
    <i r="2">
      <x v="113"/>
    </i>
    <i r="1">
      <x v="7"/>
      <x v="23"/>
    </i>
    <i r="1">
      <x v="8"/>
      <x v="4"/>
    </i>
    <i r="2">
      <x v="115"/>
    </i>
    <i r="2">
      <x v="122"/>
    </i>
    <i r="1">
      <x v="11"/>
      <x v="1"/>
    </i>
    <i r="2">
      <x v="97"/>
    </i>
    <i r="1">
      <x v="13"/>
      <x v="66"/>
    </i>
    <i r="1">
      <x v="14"/>
      <x v="8"/>
    </i>
    <i r="2">
      <x v="73"/>
    </i>
    <i r="1">
      <x v="16"/>
      <x v="12"/>
    </i>
    <i r="2">
      <x v="20"/>
    </i>
    <i r="2">
      <x v="30"/>
    </i>
    <i r="2">
      <x v="32"/>
    </i>
    <i r="2">
      <x v="46"/>
    </i>
    <i r="2">
      <x v="54"/>
    </i>
    <i r="2">
      <x v="57"/>
    </i>
    <i r="2">
      <x v="68"/>
    </i>
    <i r="2">
      <x v="79"/>
    </i>
    <i t="blank">
      <x v="61"/>
    </i>
    <i>
      <x v="62"/>
    </i>
    <i r="1">
      <x/>
      <x v="122"/>
    </i>
    <i r="1">
      <x v="1"/>
      <x v="106"/>
    </i>
    <i r="1">
      <x v="2"/>
      <x v="67"/>
    </i>
    <i r="1">
      <x v="3"/>
      <x v="105"/>
    </i>
    <i r="1">
      <x v="4"/>
      <x v="81"/>
    </i>
    <i r="2">
      <x v="115"/>
    </i>
    <i r="1">
      <x v="6"/>
      <x v="71"/>
    </i>
    <i r="1">
      <x v="7"/>
      <x v="4"/>
    </i>
    <i r="2">
      <x v="66"/>
    </i>
    <i r="2">
      <x v="77"/>
    </i>
    <i r="2">
      <x v="97"/>
    </i>
    <i r="2">
      <x v="99"/>
    </i>
    <i r="1">
      <x v="12"/>
      <x v="19"/>
    </i>
    <i r="1">
      <x v="13"/>
      <x v="92"/>
    </i>
    <i r="2">
      <x v="112"/>
    </i>
    <i r="1">
      <x v="15"/>
      <x v="1"/>
    </i>
    <i r="2">
      <x v="3"/>
    </i>
    <i r="2">
      <x v="18"/>
    </i>
    <i r="2">
      <x v="48"/>
    </i>
    <i r="2">
      <x v="104"/>
    </i>
    <i r="2">
      <x v="107"/>
    </i>
    <i r="2">
      <x v="118"/>
    </i>
    <i t="blank">
      <x v="62"/>
    </i>
    <i>
      <x v="63"/>
    </i>
    <i r="1">
      <x/>
      <x v="1"/>
    </i>
    <i r="2">
      <x v="105"/>
    </i>
    <i r="1">
      <x v="2"/>
      <x v="106"/>
    </i>
    <i r="1">
      <x v="3"/>
      <x v="122"/>
    </i>
    <i r="1">
      <x v="4"/>
      <x v="64"/>
    </i>
    <i r="2">
      <x v="73"/>
    </i>
    <i r="1">
      <x v="6"/>
      <x v="30"/>
    </i>
    <i r="1">
      <x v="7"/>
      <x v="12"/>
    </i>
    <i r="2">
      <x v="118"/>
    </i>
    <i r="1">
      <x v="9"/>
      <x/>
    </i>
    <i r="2">
      <x v="3"/>
    </i>
    <i r="2">
      <x v="56"/>
    </i>
    <i r="2">
      <x v="62"/>
    </i>
    <i r="2">
      <x v="63"/>
    </i>
    <i r="2">
      <x v="65"/>
    </i>
    <i r="2">
      <x v="66"/>
    </i>
    <i r="2">
      <x v="67"/>
    </i>
    <i r="2">
      <x v="69"/>
    </i>
    <i r="2">
      <x v="81"/>
    </i>
    <i r="2">
      <x v="97"/>
    </i>
    <i r="2">
      <x v="103"/>
    </i>
    <i r="2">
      <x v="104"/>
    </i>
    <i r="2">
      <x v="115"/>
    </i>
    <i t="blank">
      <x v="63"/>
    </i>
    <i>
      <x v="64"/>
    </i>
    <i r="1">
      <x/>
      <x v="1"/>
    </i>
    <i r="1">
      <x v="1"/>
      <x v="106"/>
    </i>
    <i r="1">
      <x v="2"/>
      <x v="66"/>
    </i>
    <i r="2">
      <x v="77"/>
    </i>
    <i r="1">
      <x v="4"/>
      <x v="65"/>
    </i>
    <i r="2">
      <x v="97"/>
    </i>
    <i r="2">
      <x v="118"/>
    </i>
    <i r="2">
      <x v="126"/>
    </i>
    <i r="1">
      <x v="8"/>
      <x v="12"/>
    </i>
    <i r="2">
      <x v="57"/>
    </i>
    <i r="2">
      <x v="68"/>
    </i>
    <i r="2">
      <x v="71"/>
    </i>
    <i r="2">
      <x v="81"/>
    </i>
    <i r="2">
      <x v="101"/>
    </i>
    <i r="1">
      <x v="14"/>
      <x v="3"/>
    </i>
    <i r="2">
      <x v="64"/>
    </i>
    <i r="2">
      <x v="73"/>
    </i>
    <i r="2">
      <x v="96"/>
    </i>
    <i r="2">
      <x v="115"/>
    </i>
    <i r="2">
      <x v="122"/>
    </i>
    <i t="blank">
      <x v="64"/>
    </i>
    <i>
      <x v="65"/>
    </i>
    <i r="1">
      <x/>
      <x v="1"/>
    </i>
    <i r="2">
      <x v="106"/>
    </i>
    <i r="1">
      <x v="2"/>
      <x v="105"/>
    </i>
    <i r="1">
      <x v="3"/>
      <x v="30"/>
    </i>
    <i r="1">
      <x v="4"/>
      <x v="66"/>
    </i>
    <i r="2">
      <x v="73"/>
    </i>
    <i r="1">
      <x v="6"/>
      <x v="13"/>
    </i>
    <i r="2">
      <x v="67"/>
    </i>
    <i r="2">
      <x v="68"/>
    </i>
    <i r="2">
      <x v="122"/>
    </i>
    <i r="1">
      <x v="10"/>
      <x/>
    </i>
    <i r="2">
      <x v="2"/>
    </i>
    <i r="2">
      <x v="4"/>
    </i>
    <i r="2">
      <x v="57"/>
    </i>
    <i r="2">
      <x v="62"/>
    </i>
    <i r="2">
      <x v="65"/>
    </i>
    <i r="2">
      <x v="71"/>
    </i>
    <i r="2">
      <x v="96"/>
    </i>
    <i r="2">
      <x v="97"/>
    </i>
    <i r="2">
      <x v="102"/>
    </i>
    <i r="2">
      <x v="104"/>
    </i>
    <i r="2">
      <x v="113"/>
    </i>
    <i r="2">
      <x v="115"/>
    </i>
    <i t="blank">
      <x v="65"/>
    </i>
    <i>
      <x v="66"/>
    </i>
    <i r="1">
      <x/>
      <x v="1"/>
    </i>
    <i r="1">
      <x v="1"/>
      <x v="106"/>
    </i>
    <i r="1">
      <x v="2"/>
      <x v="105"/>
    </i>
    <i r="1">
      <x v="3"/>
      <x v="66"/>
    </i>
    <i r="2">
      <x v="99"/>
    </i>
    <i r="1">
      <x v="5"/>
      <x v="12"/>
    </i>
    <i r="2">
      <x v="81"/>
    </i>
    <i r="2">
      <x v="122"/>
    </i>
    <i r="1">
      <x v="8"/>
      <x v="3"/>
    </i>
    <i r="2">
      <x v="68"/>
    </i>
    <i r="1">
      <x v="10"/>
      <x v="97"/>
    </i>
    <i r="1">
      <x v="11"/>
      <x v="61"/>
    </i>
    <i r="2">
      <x v="67"/>
    </i>
    <i r="1">
      <x v="13"/>
      <x v="64"/>
    </i>
    <i r="2">
      <x v="71"/>
    </i>
    <i r="2">
      <x v="77"/>
    </i>
    <i r="2">
      <x v="109"/>
    </i>
    <i r="1">
      <x v="17"/>
      <x/>
    </i>
    <i r="2">
      <x v="13"/>
    </i>
    <i r="2">
      <x v="63"/>
    </i>
    <i r="2">
      <x v="73"/>
    </i>
    <i r="2">
      <x v="104"/>
    </i>
    <i r="2">
      <x v="113"/>
    </i>
    <i r="2">
      <x v="115"/>
    </i>
    <i t="blank">
      <x v="66"/>
    </i>
    <i>
      <x v="67"/>
    </i>
    <i r="1">
      <x/>
      <x v="1"/>
    </i>
    <i r="1">
      <x v="1"/>
      <x v="106"/>
    </i>
    <i r="1">
      <x v="2"/>
      <x v="4"/>
    </i>
    <i r="2">
      <x v="77"/>
    </i>
    <i r="2">
      <x v="105"/>
    </i>
    <i r="1">
      <x v="5"/>
      <x/>
    </i>
    <i r="2">
      <x v="67"/>
    </i>
    <i r="2">
      <x v="104"/>
    </i>
    <i r="2">
      <x v="122"/>
    </i>
    <i r="1">
      <x v="9"/>
      <x v="10"/>
    </i>
    <i r="2">
      <x v="71"/>
    </i>
    <i r="1">
      <x v="11"/>
      <x v="3"/>
    </i>
    <i r="2">
      <x v="13"/>
    </i>
    <i r="2">
      <x v="38"/>
    </i>
    <i r="2">
      <x v="64"/>
    </i>
    <i r="2">
      <x v="66"/>
    </i>
    <i r="2">
      <x v="70"/>
    </i>
    <i r="2">
      <x v="74"/>
    </i>
    <i r="2">
      <x v="102"/>
    </i>
    <i r="2">
      <x v="118"/>
    </i>
    <i t="blank">
      <x v="67"/>
    </i>
    <i>
      <x v="68"/>
    </i>
    <i r="1">
      <x/>
      <x v="1"/>
    </i>
    <i r="1">
      <x v="1"/>
      <x v="66"/>
    </i>
    <i r="1">
      <x v="2"/>
      <x v="13"/>
    </i>
    <i r="1">
      <x v="3"/>
      <x v="67"/>
    </i>
    <i r="2">
      <x v="118"/>
    </i>
    <i r="1">
      <x v="5"/>
      <x/>
    </i>
    <i r="2">
      <x v="30"/>
    </i>
    <i r="2">
      <x v="46"/>
    </i>
    <i r="2">
      <x v="77"/>
    </i>
    <i r="2">
      <x v="99"/>
    </i>
    <i r="2">
      <x v="101"/>
    </i>
    <i r="2">
      <x v="120"/>
    </i>
    <i r="1">
      <x v="12"/>
      <x v="3"/>
    </i>
    <i r="2">
      <x v="4"/>
    </i>
    <i r="2">
      <x v="11"/>
    </i>
    <i r="2">
      <x v="12"/>
    </i>
    <i r="2">
      <x v="17"/>
    </i>
    <i r="2">
      <x v="20"/>
    </i>
    <i r="2">
      <x v="25"/>
    </i>
    <i r="2">
      <x v="29"/>
    </i>
    <i r="2">
      <x v="38"/>
    </i>
    <i r="2">
      <x v="59"/>
    </i>
    <i r="2">
      <x v="63"/>
    </i>
    <i r="2">
      <x v="64"/>
    </i>
    <i r="2">
      <x v="65"/>
    </i>
    <i r="2">
      <x v="69"/>
    </i>
    <i r="2">
      <x v="72"/>
    </i>
    <i r="2">
      <x v="73"/>
    </i>
    <i r="2">
      <x v="91"/>
    </i>
    <i r="2">
      <x v="95"/>
    </i>
    <i r="2">
      <x v="96"/>
    </i>
    <i r="2">
      <x v="97"/>
    </i>
    <i r="2">
      <x v="98"/>
    </i>
    <i r="2">
      <x v="103"/>
    </i>
    <i r="2">
      <x v="104"/>
    </i>
    <i r="2">
      <x v="105"/>
    </i>
    <i r="2">
      <x v="106"/>
    </i>
    <i r="2">
      <x v="109"/>
    </i>
    <i r="2">
      <x v="110"/>
    </i>
    <i r="2">
      <x v="113"/>
    </i>
    <i r="2">
      <x v="116"/>
    </i>
    <i r="2">
      <x v="117"/>
    </i>
    <i r="2">
      <x v="121"/>
    </i>
    <i t="blank">
      <x v="68"/>
    </i>
    <i>
      <x v="69"/>
    </i>
    <i r="1">
      <x/>
      <x v="1"/>
    </i>
    <i r="1">
      <x v="1"/>
      <x v="70"/>
    </i>
    <i r="1">
      <x v="2"/>
      <x v="106"/>
    </i>
    <i r="1">
      <x v="3"/>
      <x v="105"/>
    </i>
    <i r="2">
      <x v="122"/>
    </i>
    <i r="1">
      <x v="5"/>
      <x v="3"/>
    </i>
    <i r="1">
      <x v="6"/>
      <x v="97"/>
    </i>
    <i r="1">
      <x v="7"/>
      <x v="66"/>
    </i>
    <i r="1">
      <x v="8"/>
      <x/>
    </i>
    <i r="2">
      <x v="12"/>
    </i>
    <i r="2">
      <x v="13"/>
    </i>
    <i r="2">
      <x v="67"/>
    </i>
    <i r="2">
      <x v="71"/>
    </i>
    <i r="1">
      <x v="13"/>
      <x v="30"/>
    </i>
    <i r="2">
      <x v="68"/>
    </i>
    <i r="2">
      <x v="73"/>
    </i>
    <i r="2">
      <x v="101"/>
    </i>
    <i r="1">
      <x v="17"/>
      <x v="57"/>
    </i>
    <i r="2">
      <x v="64"/>
    </i>
    <i r="2">
      <x v="65"/>
    </i>
    <i r="2">
      <x v="77"/>
    </i>
    <i r="2">
      <x v="78"/>
    </i>
    <i r="2">
      <x v="81"/>
    </i>
    <i r="2">
      <x v="104"/>
    </i>
    <i r="2">
      <x v="108"/>
    </i>
    <i t="blank">
      <x v="69"/>
    </i>
    <i>
      <x v="70"/>
    </i>
    <i r="1">
      <x/>
      <x v="106"/>
    </i>
    <i r="1">
      <x v="1"/>
      <x v="1"/>
    </i>
    <i r="1">
      <x v="2"/>
      <x v="67"/>
    </i>
    <i r="2">
      <x v="81"/>
    </i>
    <i r="1">
      <x v="4"/>
      <x v="105"/>
    </i>
    <i r="1">
      <x v="5"/>
      <x v="115"/>
    </i>
    <i r="1">
      <x v="6"/>
      <x v="66"/>
    </i>
    <i r="2">
      <x v="113"/>
    </i>
    <i r="1">
      <x v="8"/>
      <x v="12"/>
    </i>
    <i r="2">
      <x v="100"/>
    </i>
    <i r="1">
      <x v="10"/>
      <x v="122"/>
    </i>
    <i r="1">
      <x v="11"/>
      <x v="112"/>
    </i>
    <i r="1">
      <x v="12"/>
      <x v="71"/>
    </i>
    <i r="2">
      <x v="97"/>
    </i>
    <i r="1">
      <x v="14"/>
      <x v="77"/>
    </i>
    <i r="1">
      <x v="15"/>
      <x v="3"/>
    </i>
    <i r="2">
      <x v="99"/>
    </i>
    <i r="2">
      <x v="101"/>
    </i>
    <i r="1">
      <x v="18"/>
      <x v="41"/>
    </i>
    <i r="1">
      <x v="19"/>
      <x v="104"/>
    </i>
    <i t="blank">
      <x v="70"/>
    </i>
    <i>
      <x v="71"/>
    </i>
    <i r="1">
      <x/>
      <x v="1"/>
    </i>
    <i r="1">
      <x v="1"/>
      <x v="106"/>
    </i>
    <i r="1">
      <x v="2"/>
      <x v="105"/>
    </i>
    <i r="1">
      <x v="3"/>
      <x v="3"/>
    </i>
    <i r="2">
      <x v="92"/>
    </i>
    <i r="1">
      <x v="5"/>
      <x v="66"/>
    </i>
    <i r="1">
      <x v="6"/>
      <x v="4"/>
    </i>
    <i r="2">
      <x v="12"/>
    </i>
    <i r="2">
      <x v="115"/>
    </i>
    <i r="1">
      <x v="9"/>
      <x v="65"/>
    </i>
    <i r="2">
      <x v="67"/>
    </i>
    <i r="2">
      <x v="113"/>
    </i>
    <i r="1">
      <x v="12"/>
      <x v="11"/>
    </i>
    <i r="2">
      <x v="77"/>
    </i>
    <i r="2">
      <x v="101"/>
    </i>
    <i r="2">
      <x v="104"/>
    </i>
    <i r="2">
      <x v="122"/>
    </i>
    <i r="1">
      <x v="17"/>
      <x v="110"/>
    </i>
    <i r="2">
      <x v="111"/>
    </i>
    <i r="2">
      <x v="119"/>
    </i>
    <i t="blank">
      <x v="71"/>
    </i>
    <i>
      <x v="72"/>
    </i>
    <i r="1">
      <x/>
      <x v="106"/>
    </i>
    <i r="1">
      <x v="1"/>
      <x v="81"/>
    </i>
    <i r="1">
      <x v="2"/>
      <x v="105"/>
    </i>
    <i r="1">
      <x v="3"/>
      <x v="13"/>
    </i>
    <i r="1">
      <x v="4"/>
      <x v="4"/>
    </i>
    <i r="2">
      <x v="82"/>
    </i>
    <i r="1">
      <x v="6"/>
      <x v="12"/>
    </i>
    <i r="2">
      <x v="15"/>
    </i>
    <i r="2">
      <x v="63"/>
    </i>
    <i r="2">
      <x v="71"/>
    </i>
    <i r="2">
      <x v="77"/>
    </i>
    <i r="1">
      <x v="11"/>
      <x/>
    </i>
    <i r="2">
      <x v="1"/>
    </i>
    <i r="2">
      <x v="3"/>
    </i>
    <i r="2">
      <x v="61"/>
    </i>
    <i r="2">
      <x v="67"/>
    </i>
    <i r="2">
      <x v="73"/>
    </i>
    <i r="2">
      <x v="93"/>
    </i>
    <i r="2">
      <x v="96"/>
    </i>
    <i r="2">
      <x v="114"/>
    </i>
    <i r="2">
      <x v="115"/>
    </i>
    <i r="2">
      <x v="122"/>
    </i>
    <i t="blank">
      <x v="72"/>
    </i>
    <i>
      <x v="73"/>
    </i>
    <i r="1">
      <x/>
      <x v="1"/>
    </i>
    <i r="1">
      <x v="1"/>
      <x v="66"/>
    </i>
    <i r="2">
      <x v="106"/>
    </i>
    <i r="1">
      <x v="3"/>
      <x v="105"/>
    </i>
    <i r="2">
      <x v="122"/>
    </i>
    <i r="1">
      <x v="5"/>
      <x v="4"/>
    </i>
    <i r="2">
      <x v="67"/>
    </i>
    <i r="2">
      <x v="118"/>
    </i>
    <i r="1">
      <x v="8"/>
      <x v="3"/>
    </i>
    <i r="2">
      <x v="12"/>
    </i>
    <i r="2">
      <x v="55"/>
    </i>
    <i r="2">
      <x v="64"/>
    </i>
    <i r="2">
      <x v="73"/>
    </i>
    <i r="2">
      <x v="123"/>
    </i>
    <i r="1">
      <x v="14"/>
      <x v="10"/>
    </i>
    <i r="2">
      <x v="11"/>
    </i>
    <i r="2">
      <x v="57"/>
    </i>
    <i r="2">
      <x v="63"/>
    </i>
    <i r="2">
      <x v="71"/>
    </i>
    <i r="2">
      <x v="77"/>
    </i>
    <i r="2">
      <x v="84"/>
    </i>
    <i r="2">
      <x v="98"/>
    </i>
    <i t="blank">
      <x v="73"/>
    </i>
    <i>
      <x v="74"/>
    </i>
    <i r="1">
      <x/>
      <x v="1"/>
    </i>
    <i r="1">
      <x v="1"/>
      <x v="106"/>
    </i>
    <i r="1">
      <x v="2"/>
      <x v="66"/>
    </i>
    <i r="1">
      <x v="3"/>
      <x v="105"/>
    </i>
    <i r="1">
      <x v="4"/>
      <x v="115"/>
    </i>
    <i r="1">
      <x v="5"/>
      <x v="77"/>
    </i>
    <i r="2">
      <x v="81"/>
    </i>
    <i r="2">
      <x v="100"/>
    </i>
    <i r="1">
      <x v="8"/>
      <x v="3"/>
    </i>
    <i r="2">
      <x v="67"/>
    </i>
    <i r="2">
      <x v="104"/>
    </i>
    <i r="2">
      <x v="122"/>
    </i>
    <i r="1">
      <x v="12"/>
      <x v="11"/>
    </i>
    <i r="2">
      <x v="71"/>
    </i>
    <i r="2">
      <x v="99"/>
    </i>
    <i r="2">
      <x v="113"/>
    </i>
    <i r="1">
      <x v="16"/>
      <x v="97"/>
    </i>
    <i r="2">
      <x v="101"/>
    </i>
    <i r="1">
      <x v="18"/>
      <x/>
    </i>
    <i r="2">
      <x v="4"/>
    </i>
    <i r="2">
      <x v="5"/>
    </i>
    <i r="2">
      <x v="12"/>
    </i>
    <i r="2">
      <x v="69"/>
    </i>
    <i r="2">
      <x v="92"/>
    </i>
    <i r="2">
      <x v="112"/>
    </i>
    <i t="blank">
      <x v="7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1066">
      <pivotArea field="2" type="button" dataOnly="0" labelOnly="1" outline="0" axis="axisRow" fieldPosition="0"/>
    </format>
    <format dxfId="1065">
      <pivotArea outline="0" fieldPosition="0">
        <references count="1">
          <reference field="4294967294" count="1">
            <x v="0"/>
          </reference>
        </references>
      </pivotArea>
    </format>
    <format dxfId="1064">
      <pivotArea outline="0" fieldPosition="0">
        <references count="1">
          <reference field="4294967294" count="1">
            <x v="1"/>
          </reference>
        </references>
      </pivotArea>
    </format>
    <format dxfId="1063">
      <pivotArea outline="0" fieldPosition="0">
        <references count="1">
          <reference field="4294967294" count="1">
            <x v="2"/>
          </reference>
        </references>
      </pivotArea>
    </format>
    <format dxfId="1062">
      <pivotArea outline="0" fieldPosition="0">
        <references count="1">
          <reference field="4294967294" count="1">
            <x v="3"/>
          </reference>
        </references>
      </pivotArea>
    </format>
    <format dxfId="1061">
      <pivotArea outline="0" fieldPosition="0">
        <references count="1">
          <reference field="4294967294" count="1">
            <x v="4"/>
          </reference>
        </references>
      </pivotArea>
    </format>
    <format dxfId="1060">
      <pivotArea outline="0" fieldPosition="0">
        <references count="1">
          <reference field="4294967294" count="1">
            <x v="5"/>
          </reference>
        </references>
      </pivotArea>
    </format>
    <format dxfId="1059">
      <pivotArea outline="0" fieldPosition="0">
        <references count="1">
          <reference field="4294967294" count="1">
            <x v="6"/>
          </reference>
        </references>
      </pivotArea>
    </format>
    <format dxfId="1058">
      <pivotArea field="2" type="button" dataOnly="0" labelOnly="1" outline="0" axis="axisRow" fieldPosition="0"/>
    </format>
    <format dxfId="105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56">
      <pivotArea field="2" type="button" dataOnly="0" labelOnly="1" outline="0" axis="axisRow" fieldPosition="0"/>
    </format>
    <format dxfId="105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54">
      <pivotArea field="2" type="button" dataOnly="0" labelOnly="1" outline="0" axis="axisRow" fieldPosition="0"/>
    </format>
    <format dxfId="105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5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5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1050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7CD7E7-9C06-4A65-8DA5-0BFDB794C310}" name="LTBL_40000" displayName="LTBL_40000" ref="B4:I20" totalsRowCount="1">
  <autoFilter ref="B4:I19" xr:uid="{477CD7E7-9C06-4A65-8DA5-0BFDB794C310}"/>
  <tableColumns count="8">
    <tableColumn id="9" xr3:uid="{2500A39F-75B3-4B9A-8452-95A8198E3EB7}" name="産業大分類" totalsRowLabel="合計" totalsRowDxfId="1049"/>
    <tableColumn id="10" xr3:uid="{F646AD90-0C6F-4CDF-B9A2-E1C7FF866337}" name="総数／事業所数" totalsRowFunction="custom" totalsRowDxfId="1048" dataCellStyle="桁区切り" totalsRowCellStyle="桁区切り">
      <totalsRowFormula>SUM(LTBL_40000[総数／事業所数])</totalsRowFormula>
    </tableColumn>
    <tableColumn id="11" xr3:uid="{1B793488-DCC8-43AB-8D7B-A0FD220F50BB}" name="総数／構成比" dataDxfId="1047"/>
    <tableColumn id="12" xr3:uid="{691B5038-242E-454A-A3E3-47AB0CD9ADE9}" name="個人／事業所数" totalsRowFunction="sum" totalsRowDxfId="1046" dataCellStyle="桁区切り" totalsRowCellStyle="桁区切り"/>
    <tableColumn id="13" xr3:uid="{DD279EB8-3C74-481E-BADB-CBA259A2A5BB}" name="個人／構成比" dataDxfId="1045"/>
    <tableColumn id="14" xr3:uid="{AEE6405F-0856-448B-BF23-3ED2594E3B9C}" name="法人／事業所数" totalsRowFunction="sum" totalsRowDxfId="1044" dataCellStyle="桁区切り" totalsRowCellStyle="桁区切り"/>
    <tableColumn id="15" xr3:uid="{09881FA6-0EAC-48EA-9A3F-848C567E75E0}" name="法人／構成比" dataDxfId="1043"/>
    <tableColumn id="16" xr3:uid="{1030396A-D779-41EF-AB54-FACCF5720D24}" name="法人以外の団体／事業所数" totalsRowFunction="sum" totalsRowDxfId="1042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CAD88E3-65D1-48D7-9904-617BB9C1FE7A}" name="LTBL_40103" displayName="LTBL_40103" ref="B4:I20" totalsRowCount="1">
  <autoFilter ref="B4:I19" xr:uid="{ECAD88E3-65D1-48D7-9904-617BB9C1FE7A}"/>
  <tableColumns count="8">
    <tableColumn id="9" xr3:uid="{1AA6087A-A394-4878-802F-34B5F91F3CE3}" name="産業大分類" totalsRowLabel="合計" totalsRowDxfId="1007"/>
    <tableColumn id="10" xr3:uid="{0BE09C5D-4679-450A-A0DB-34093CAAD38A}" name="総数／事業所数" totalsRowFunction="custom" totalsRowDxfId="1006" dataCellStyle="桁区切り" totalsRowCellStyle="桁区切り">
      <totalsRowFormula>SUM(LTBL_40103[総数／事業所数])</totalsRowFormula>
    </tableColumn>
    <tableColumn id="11" xr3:uid="{486E9882-D7CC-4602-9D19-62D273696EA0}" name="総数／構成比" dataDxfId="1005"/>
    <tableColumn id="12" xr3:uid="{B741F869-351B-421F-AE3E-A83512AE2EB0}" name="個人／事業所数" totalsRowFunction="sum" totalsRowDxfId="1004" dataCellStyle="桁区切り" totalsRowCellStyle="桁区切り"/>
    <tableColumn id="13" xr3:uid="{A6D7BB90-4EDA-4833-B238-590C9AD5AAD8}" name="個人／構成比" dataDxfId="1003"/>
    <tableColumn id="14" xr3:uid="{A7EBED4A-10C8-45E0-89D5-42B58A688BA2}" name="法人／事業所数" totalsRowFunction="sum" totalsRowDxfId="1002" dataCellStyle="桁区切り" totalsRowCellStyle="桁区切り"/>
    <tableColumn id="15" xr3:uid="{260855BF-7153-4FE2-947E-C7AFC480A2F1}" name="法人／構成比" dataDxfId="1001"/>
    <tableColumn id="16" xr3:uid="{D8665233-3653-4A73-8C9E-2D85A7DF04BF}" name="法人以外の団体／事業所数" totalsRowFunction="sum" totalsRowDxfId="1000" dataCellStyle="桁区切り" totalsRowCellStyle="桁区切り"/>
  </tableColumns>
  <tableStyleInfo name="TableStyleMedium9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767343EE-6A55-4A05-B1E5-B2AAA8727C61}" name="LTBL_40220" displayName="LTBL_40220" ref="B4:I20" totalsRowCount="1">
  <autoFilter ref="B4:I19" xr:uid="{767343EE-6A55-4A05-B1E5-B2AAA8727C61}"/>
  <tableColumns count="8">
    <tableColumn id="9" xr3:uid="{5208A718-28A4-4ECE-96E0-787D851BEB02}" name="産業大分類" totalsRowLabel="合計" totalsRowDxfId="587"/>
    <tableColumn id="10" xr3:uid="{B8F13EBE-DCC0-4FA2-8CE4-298867497216}" name="総数／事業所数" totalsRowFunction="custom" totalsRowDxfId="586" dataCellStyle="桁区切り" totalsRowCellStyle="桁区切り">
      <totalsRowFormula>SUM(LTBL_40220[総数／事業所数])</totalsRowFormula>
    </tableColumn>
    <tableColumn id="11" xr3:uid="{4D3CECEE-B3AC-4418-AC2D-2A87BCD78F5E}" name="総数／構成比" dataDxfId="585"/>
    <tableColumn id="12" xr3:uid="{C0FB9FBF-A0EC-4128-9859-FFC54714C2D8}" name="個人／事業所数" totalsRowFunction="sum" totalsRowDxfId="584" dataCellStyle="桁区切り" totalsRowCellStyle="桁区切り"/>
    <tableColumn id="13" xr3:uid="{41FAFD18-503A-4EC5-B77B-47DFEF098B10}" name="個人／構成比" dataDxfId="583"/>
    <tableColumn id="14" xr3:uid="{6300C7EA-875C-4722-A547-C5E7A2B40864}" name="法人／事業所数" totalsRowFunction="sum" totalsRowDxfId="582" dataCellStyle="桁区切り" totalsRowCellStyle="桁区切り"/>
    <tableColumn id="15" xr3:uid="{35F18226-431B-4A72-9B90-0A4EFD70D58D}" name="法人／構成比" dataDxfId="581"/>
    <tableColumn id="16" xr3:uid="{64ED7271-137C-4F25-BDB1-AC42260EB181}" name="法人以外の団体／事業所数" totalsRowFunction="sum" totalsRowDxfId="580" dataCellStyle="桁区切り" totalsRow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02EDC046-7DD4-41E7-9A54-8EF5F8634601}" name="M_TABLE_40220" displayName="M_TABLE_40220" ref="B23:I43" totalsRowShown="0">
  <autoFilter ref="B23:I43" xr:uid="{02EDC046-7DD4-41E7-9A54-8EF5F8634601}"/>
  <tableColumns count="8">
    <tableColumn id="9" xr3:uid="{CC467195-3146-4A00-8F08-3D8A1602ED55}" name="産業中分類上位２０"/>
    <tableColumn id="10" xr3:uid="{78EC9CAC-9ED7-4CB0-B073-1C942F7FB4D1}" name="総数／事業所数" dataCellStyle="桁区切り"/>
    <tableColumn id="11" xr3:uid="{4D646FF7-FF2C-4468-94E9-73963378D2BA}" name="総数／構成比" dataDxfId="579"/>
    <tableColumn id="12" xr3:uid="{3E47CBD9-C723-4950-A481-E54A2B2018A4}" name="個人／事業所数" dataCellStyle="桁区切り"/>
    <tableColumn id="13" xr3:uid="{4C55B95E-7773-412E-AA39-254A22255AC7}" name="個人／構成比" dataDxfId="578"/>
    <tableColumn id="14" xr3:uid="{148214C4-9AF2-410C-96CF-B3790F89398E}" name="法人／事業所数" dataCellStyle="桁区切り"/>
    <tableColumn id="15" xr3:uid="{4B5E8C1F-F3AA-407A-AC89-A706475A34FE}" name="法人／構成比" dataDxfId="577"/>
    <tableColumn id="16" xr3:uid="{22DB103F-BC61-4F39-9D91-407C526F8005}" name="法人以外の団体／事業所数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EAFD123E-3B0D-42FE-852E-5E6168650D35}" name="S_TABLE_40220" displayName="S_TABLE_40220" ref="B46:I67" totalsRowShown="0">
  <autoFilter ref="B46:I67" xr:uid="{EAFD123E-3B0D-42FE-852E-5E6168650D35}"/>
  <tableColumns count="8">
    <tableColumn id="9" xr3:uid="{3E30E708-B871-4B43-82B1-665E97162D6A}" name="産業小分類上位２０"/>
    <tableColumn id="10" xr3:uid="{2AD4EB73-C38C-49C5-9FFF-FC2280D5CD34}" name="総数／事業所数" dataCellStyle="桁区切り"/>
    <tableColumn id="11" xr3:uid="{0CB1E134-BC9E-42AC-A93D-306717CFF093}" name="総数／構成比" dataDxfId="576"/>
    <tableColumn id="12" xr3:uid="{80C2C468-73AD-4C18-8667-CCF594DB419A}" name="個人／事業所数" dataCellStyle="桁区切り"/>
    <tableColumn id="13" xr3:uid="{2DE23FC8-7720-4D24-88E0-1009ED8EDFD1}" name="個人／構成比" dataDxfId="575"/>
    <tableColumn id="14" xr3:uid="{4D6F51E4-7F53-4B8F-8A82-852AADCF33B4}" name="法人／事業所数" dataCellStyle="桁区切り"/>
    <tableColumn id="15" xr3:uid="{8B118A64-6370-4D95-B311-E84C42B8784D}" name="法人／構成比" dataDxfId="574"/>
    <tableColumn id="16" xr3:uid="{C2BBF3EB-F23E-438B-8D84-E4F433CACE36}" name="法人以外の団体／事業所数" dataCellStyle="桁区切り"/>
  </tableColumns>
  <tableStyleInfo name="TableStyleMedium9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EC5EFD0B-6A7E-4E5A-8A1B-56B32BAC644C}" name="LTBL_40221" displayName="LTBL_40221" ref="B4:I20" totalsRowCount="1">
  <autoFilter ref="B4:I19" xr:uid="{EC5EFD0B-6A7E-4E5A-8A1B-56B32BAC644C}"/>
  <tableColumns count="8">
    <tableColumn id="9" xr3:uid="{96CB5EFC-DE1E-41ED-8D0F-B5C79F88F0A2}" name="産業大分類" totalsRowLabel="合計" totalsRowDxfId="573"/>
    <tableColumn id="10" xr3:uid="{1FB22302-5B62-4B8F-BCE1-87E792134D54}" name="総数／事業所数" totalsRowFunction="custom" totalsRowDxfId="572" dataCellStyle="桁区切り" totalsRowCellStyle="桁区切り">
      <totalsRowFormula>SUM(LTBL_40221[総数／事業所数])</totalsRowFormula>
    </tableColumn>
    <tableColumn id="11" xr3:uid="{8168A730-A063-4991-8EE7-3AB98440C1FC}" name="総数／構成比" dataDxfId="571"/>
    <tableColumn id="12" xr3:uid="{0E47E593-E50F-4787-90D4-CB1A7A648678}" name="個人／事業所数" totalsRowFunction="sum" totalsRowDxfId="570" dataCellStyle="桁区切り" totalsRowCellStyle="桁区切り"/>
    <tableColumn id="13" xr3:uid="{1276A29C-8F9E-4DC1-8A55-88E78CE84ED5}" name="個人／構成比" dataDxfId="569"/>
    <tableColumn id="14" xr3:uid="{84CD7FD6-4E6C-49EE-97B8-15E6CE662DAF}" name="法人／事業所数" totalsRowFunction="sum" totalsRowDxfId="568" dataCellStyle="桁区切り" totalsRowCellStyle="桁区切り"/>
    <tableColumn id="15" xr3:uid="{30868F06-0BDC-4523-9062-A6A4B272757F}" name="法人／構成比" dataDxfId="567"/>
    <tableColumn id="16" xr3:uid="{785478AB-93F5-48B2-8F25-DA4EAC942C3D}" name="法人以外の団体／事業所数" totalsRowFunction="sum" totalsRowDxfId="566" dataCellStyle="桁区切り" totalsRow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99C5EBBC-F0BF-4741-ACFE-4DF56757D72D}" name="M_TABLE_40221" displayName="M_TABLE_40221" ref="B23:I43" totalsRowShown="0">
  <autoFilter ref="B23:I43" xr:uid="{99C5EBBC-F0BF-4741-ACFE-4DF56757D72D}"/>
  <tableColumns count="8">
    <tableColumn id="9" xr3:uid="{AA16056F-2A18-43F6-89D1-3EA8987AA086}" name="産業中分類上位２０"/>
    <tableColumn id="10" xr3:uid="{8B959DBD-3B10-424E-900C-EA093C4978B9}" name="総数／事業所数" dataCellStyle="桁区切り"/>
    <tableColumn id="11" xr3:uid="{52CADC80-D459-4CC8-A862-37534254B4DF}" name="総数／構成比" dataDxfId="565"/>
    <tableColumn id="12" xr3:uid="{A9CA46D3-86A2-42B2-882C-D8A24713BCBB}" name="個人／事業所数" dataCellStyle="桁区切り"/>
    <tableColumn id="13" xr3:uid="{62D9937A-475B-4246-BDFA-94893826932F}" name="個人／構成比" dataDxfId="564"/>
    <tableColumn id="14" xr3:uid="{1914BE76-D1B4-4B2D-AB59-DB9E541B79BB}" name="法人／事業所数" dataCellStyle="桁区切り"/>
    <tableColumn id="15" xr3:uid="{FA71393E-0C5E-4535-BBBC-7095BE27465F}" name="法人／構成比" dataDxfId="563"/>
    <tableColumn id="16" xr3:uid="{4F3A9638-9CB2-47B0-9B68-74CAB343BB63}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1CCCDF3B-8F16-4082-9EBC-D6FC0F8AD282}" name="S_TABLE_40221" displayName="S_TABLE_40221" ref="B46:I66" totalsRowShown="0">
  <autoFilter ref="B46:I66" xr:uid="{1CCCDF3B-8F16-4082-9EBC-D6FC0F8AD282}"/>
  <tableColumns count="8">
    <tableColumn id="9" xr3:uid="{6D762FA2-CA6F-4834-8533-4075CDF35978}" name="産業小分類上位２０"/>
    <tableColumn id="10" xr3:uid="{FAF4B566-5E0F-48BD-BB90-2ACFC73664D7}" name="総数／事業所数" dataCellStyle="桁区切り"/>
    <tableColumn id="11" xr3:uid="{B4E68856-288F-46ED-8E9D-13EEEF678FEF}" name="総数／構成比" dataDxfId="562"/>
    <tableColumn id="12" xr3:uid="{63835AE7-2ED9-4FAF-A764-325FD51F4216}" name="個人／事業所数" dataCellStyle="桁区切り"/>
    <tableColumn id="13" xr3:uid="{DD1C704C-1565-427F-9C00-3F7A5C4FFDC4}" name="個人／構成比" dataDxfId="561"/>
    <tableColumn id="14" xr3:uid="{3727495E-CA47-4AEC-A82E-73E92638E721}" name="法人／事業所数" dataCellStyle="桁区切り"/>
    <tableColumn id="15" xr3:uid="{643B7F3A-C66B-4159-8115-8C67C8A04430}" name="法人／構成比" dataDxfId="560"/>
    <tableColumn id="16" xr3:uid="{3B7CD38C-2A23-4E93-9532-51DC25C19284}" name="法人以外の団体／事業所数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57D04DD8-AB9B-49BB-82C2-F91F50D3D7E4}" name="LTBL_40223" displayName="LTBL_40223" ref="B4:I20" totalsRowCount="1">
  <autoFilter ref="B4:I19" xr:uid="{57D04DD8-AB9B-49BB-82C2-F91F50D3D7E4}"/>
  <tableColumns count="8">
    <tableColumn id="9" xr3:uid="{C21946FC-1BFF-4CAC-83C6-7A718E6D674A}" name="産業大分類" totalsRowLabel="合計" totalsRowDxfId="559"/>
    <tableColumn id="10" xr3:uid="{EBEB190D-7E5C-4B30-9837-B007C0D30842}" name="総数／事業所数" totalsRowFunction="custom" totalsRowDxfId="558" dataCellStyle="桁区切り" totalsRowCellStyle="桁区切り">
      <totalsRowFormula>SUM(LTBL_40223[総数／事業所数])</totalsRowFormula>
    </tableColumn>
    <tableColumn id="11" xr3:uid="{5AA24A5E-BA2A-4297-B76E-5305995AF6EE}" name="総数／構成比" dataDxfId="557"/>
    <tableColumn id="12" xr3:uid="{EE3B71AB-7960-434F-A787-3622746720F6}" name="個人／事業所数" totalsRowFunction="sum" totalsRowDxfId="556" dataCellStyle="桁区切り" totalsRowCellStyle="桁区切り"/>
    <tableColumn id="13" xr3:uid="{F5833B75-E227-444E-A5CC-C7513CB959BE}" name="個人／構成比" dataDxfId="555"/>
    <tableColumn id="14" xr3:uid="{B91AC5C0-358D-4B36-A340-4E0B4AD3FF03}" name="法人／事業所数" totalsRowFunction="sum" totalsRowDxfId="554" dataCellStyle="桁区切り" totalsRowCellStyle="桁区切り"/>
    <tableColumn id="15" xr3:uid="{E6A0CEA0-4B54-436C-9A0A-809498E22EBA}" name="法人／構成比" dataDxfId="553"/>
    <tableColumn id="16" xr3:uid="{5381E428-ABAA-432B-AB62-DD6735029DAF}" name="法人以外の団体／事業所数" totalsRowFunction="sum" totalsRowDxfId="552" dataCellStyle="桁区切り" totalsRowCellStyle="桁区切り"/>
  </tableColumns>
  <tableStyleInfo name="TableStyleMedium9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1ED092DD-14DB-48ED-851E-A26015B19EA6}" name="M_TABLE_40223" displayName="M_TABLE_40223" ref="B23:I44" totalsRowShown="0">
  <autoFilter ref="B23:I44" xr:uid="{1ED092DD-14DB-48ED-851E-A26015B19EA6}"/>
  <tableColumns count="8">
    <tableColumn id="9" xr3:uid="{C7008836-9D05-44E5-97B0-85D8B429BE90}" name="産業中分類上位２０"/>
    <tableColumn id="10" xr3:uid="{B2140D02-446F-4C0B-911E-A329E12D8790}" name="総数／事業所数" dataCellStyle="桁区切り"/>
    <tableColumn id="11" xr3:uid="{D81209A9-6F49-459D-8483-CAAC34266FA7}" name="総数／構成比" dataDxfId="551"/>
    <tableColumn id="12" xr3:uid="{0FB97957-C9F3-4B2A-AEE2-34C9976718CE}" name="個人／事業所数" dataCellStyle="桁区切り"/>
    <tableColumn id="13" xr3:uid="{5715ACA4-2971-4F40-95B2-6F80D6FACFD4}" name="個人／構成比" dataDxfId="550"/>
    <tableColumn id="14" xr3:uid="{15D684DC-483A-45C6-AEF4-B74CE1AF4861}" name="法人／事業所数" dataCellStyle="桁区切り"/>
    <tableColumn id="15" xr3:uid="{C8B1D2EF-8483-40FF-8092-4582E74DD8BC}" name="法人／構成比" dataDxfId="549"/>
    <tableColumn id="16" xr3:uid="{0892E09E-6B24-494B-B7EA-C3C3F7B759EE}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A51F2E78-0F6B-4821-B2A6-47A0D0A40489}" name="S_TABLE_40223" displayName="S_TABLE_40223" ref="B47:I68" totalsRowShown="0">
  <autoFilter ref="B47:I68" xr:uid="{A51F2E78-0F6B-4821-B2A6-47A0D0A40489}"/>
  <tableColumns count="8">
    <tableColumn id="9" xr3:uid="{A2A3F031-C223-4DB4-82FA-E3F94E787F45}" name="産業小分類上位２０"/>
    <tableColumn id="10" xr3:uid="{2A04A4C4-9CE1-4378-82A3-3B4A59CD9541}" name="総数／事業所数" dataCellStyle="桁区切り"/>
    <tableColumn id="11" xr3:uid="{E703AC2B-3FAE-4EA6-8402-40CD6B62BD24}" name="総数／構成比" dataDxfId="548"/>
    <tableColumn id="12" xr3:uid="{9DBFE8DF-043F-4AC4-8BAC-CE1A864A0503}" name="個人／事業所数" dataCellStyle="桁区切り"/>
    <tableColumn id="13" xr3:uid="{D19CE963-12ED-4D6C-98D9-3160335AC49D}" name="個人／構成比" dataDxfId="547"/>
    <tableColumn id="14" xr3:uid="{F3880BCA-CEA7-420E-A100-AD1671135100}" name="法人／事業所数" dataCellStyle="桁区切り"/>
    <tableColumn id="15" xr3:uid="{23A53224-1C50-4F6A-8B22-D0C2C7B771E6}" name="法人／構成比" dataDxfId="546"/>
    <tableColumn id="16" xr3:uid="{FBFE04CD-7CD6-4BA1-A9C4-13C5E082735E}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6C805A19-CA3E-4414-B5A0-EDD257172353}" name="LTBL_40224" displayName="LTBL_40224" ref="B4:I20" totalsRowCount="1">
  <autoFilter ref="B4:I19" xr:uid="{6C805A19-CA3E-4414-B5A0-EDD257172353}"/>
  <tableColumns count="8">
    <tableColumn id="9" xr3:uid="{CC6F8D11-48DD-4D4F-AB09-672B2CF66052}" name="産業大分類" totalsRowLabel="合計" totalsRowDxfId="545"/>
    <tableColumn id="10" xr3:uid="{0C56E1DB-D749-4451-9222-14EB01125FC1}" name="総数／事業所数" totalsRowFunction="custom" totalsRowDxfId="544" dataCellStyle="桁区切り" totalsRowCellStyle="桁区切り">
      <totalsRowFormula>SUM(LTBL_40224[総数／事業所数])</totalsRowFormula>
    </tableColumn>
    <tableColumn id="11" xr3:uid="{563AF350-E5DF-45C4-BC45-424EAC530CA3}" name="総数／構成比" dataDxfId="543"/>
    <tableColumn id="12" xr3:uid="{F549D3CA-7BA0-4F9B-AD67-FA1D50C367AB}" name="個人／事業所数" totalsRowFunction="sum" totalsRowDxfId="542" dataCellStyle="桁区切り" totalsRowCellStyle="桁区切り"/>
    <tableColumn id="13" xr3:uid="{B66D02A7-2C10-45E2-9175-12CD302C1728}" name="個人／構成比" dataDxfId="541"/>
    <tableColumn id="14" xr3:uid="{FDB137EC-75C0-448F-A0E6-F99486019A2E}" name="法人／事業所数" totalsRowFunction="sum" totalsRowDxfId="540" dataCellStyle="桁区切り" totalsRowCellStyle="桁区切り"/>
    <tableColumn id="15" xr3:uid="{CA722FD4-5A14-45E2-B1C3-5C35D085FA19}" name="法人／構成比" dataDxfId="539"/>
    <tableColumn id="16" xr3:uid="{1048155D-BE2D-44C3-B883-0E06E93E2CC6}" name="法人以外の団体／事業所数" totalsRowFunction="sum" totalsRowDxfId="538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8DF9ADE-11D0-4678-BEFE-E4620BAC644D}" name="M_TABLE_40103" displayName="M_TABLE_40103" ref="B23:I43" totalsRowShown="0">
  <autoFilter ref="B23:I43" xr:uid="{78DF9ADE-11D0-4678-BEFE-E4620BAC644D}"/>
  <tableColumns count="8">
    <tableColumn id="9" xr3:uid="{ECEFC21F-89DB-4ECE-95A6-540B0A98D507}" name="産業中分類上位２０"/>
    <tableColumn id="10" xr3:uid="{F1581534-4030-400B-BF63-15C5FE8928A8}" name="総数／事業所数" dataCellStyle="桁区切り"/>
    <tableColumn id="11" xr3:uid="{6E9B13F2-1D9E-4C14-BAD2-43C014C9154C}" name="総数／構成比" dataDxfId="999"/>
    <tableColumn id="12" xr3:uid="{7FEF144E-7CEB-4F32-822E-08D652FBCB19}" name="個人／事業所数" dataCellStyle="桁区切り"/>
    <tableColumn id="13" xr3:uid="{B89B0AC7-B631-4588-9BE6-DD962455115F}" name="個人／構成比" dataDxfId="998"/>
    <tableColumn id="14" xr3:uid="{47131DD5-09FF-410F-87E5-36F375DC84B0}" name="法人／事業所数" dataCellStyle="桁区切り"/>
    <tableColumn id="15" xr3:uid="{DBF826E7-5BA9-4ACD-A044-334AF267E99C}" name="法人／構成比" dataDxfId="997"/>
    <tableColumn id="16" xr3:uid="{5C7C9FFE-10C9-42BE-967C-10B5D9B171DF}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EBE13BB3-D76E-4737-9DF1-0E156E0B5A17}" name="M_TABLE_40224" displayName="M_TABLE_40224" ref="B23:I43" totalsRowShown="0">
  <autoFilter ref="B23:I43" xr:uid="{EBE13BB3-D76E-4737-9DF1-0E156E0B5A17}"/>
  <tableColumns count="8">
    <tableColumn id="9" xr3:uid="{D945A34A-8FE1-4D08-BD6F-5A39B3A920FA}" name="産業中分類上位２０"/>
    <tableColumn id="10" xr3:uid="{3332B0FD-4B17-46A7-B0BD-F39FBC8CF08D}" name="総数／事業所数" dataCellStyle="桁区切り"/>
    <tableColumn id="11" xr3:uid="{A5F0033F-3979-4386-9CA2-CFC5CA5C6FDF}" name="総数／構成比" dataDxfId="537"/>
    <tableColumn id="12" xr3:uid="{1F526AEE-D5A7-455B-852D-D3EF2E1EB2B0}" name="個人／事業所数" dataCellStyle="桁区切り"/>
    <tableColumn id="13" xr3:uid="{5920D353-EB48-45AD-88CC-2C7D060D9B21}" name="個人／構成比" dataDxfId="536"/>
    <tableColumn id="14" xr3:uid="{C9D10A13-0749-4860-8C88-8FD096360EE2}" name="法人／事業所数" dataCellStyle="桁区切り"/>
    <tableColumn id="15" xr3:uid="{3CCFFA1A-A48D-4E8C-9392-3E48152D2341}" name="法人／構成比" dataDxfId="535"/>
    <tableColumn id="16" xr3:uid="{210B0CD0-9EA7-4793-B760-172DFEE69863}" name="法人以外の団体／事業所数" dataCellStyle="桁区切り"/>
  </tableColumns>
  <tableStyleInfo name="TableStyleMedium9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27F9A784-9835-4F34-B74C-13E9A16C8777}" name="S_TABLE_40224" displayName="S_TABLE_40224" ref="B46:I66" totalsRowShown="0">
  <autoFilter ref="B46:I66" xr:uid="{27F9A784-9835-4F34-B74C-13E9A16C8777}"/>
  <tableColumns count="8">
    <tableColumn id="9" xr3:uid="{F5CE4C3F-CEB2-4032-AEEF-8785C4A49B2A}" name="産業小分類上位２０"/>
    <tableColumn id="10" xr3:uid="{89F72071-0E91-4341-AA97-4BAD42BF3F2B}" name="総数／事業所数" dataCellStyle="桁区切り"/>
    <tableColumn id="11" xr3:uid="{F162C89F-2013-4E7C-B048-F20658714F37}" name="総数／構成比" dataDxfId="534"/>
    <tableColumn id="12" xr3:uid="{956660C2-1736-4CC8-88A2-578A44724734}" name="個人／事業所数" dataCellStyle="桁区切り"/>
    <tableColumn id="13" xr3:uid="{3B3632E0-8986-4B55-9D6D-D2427F98A27E}" name="個人／構成比" dataDxfId="533"/>
    <tableColumn id="14" xr3:uid="{B634357E-8684-4C2F-8FA7-213A27FBBE8F}" name="法人／事業所数" dataCellStyle="桁区切り"/>
    <tableColumn id="15" xr3:uid="{6411C8AC-87F9-4416-A198-F08458CDECA0}" name="法人／構成比" dataDxfId="532"/>
    <tableColumn id="16" xr3:uid="{3644C862-9A12-434E-8D05-9930B7FDB241}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F55DA263-7D19-4C64-89DA-F1E817BC9407}" name="LTBL_40225" displayName="LTBL_40225" ref="B4:I20" totalsRowCount="1">
  <autoFilter ref="B4:I19" xr:uid="{F55DA263-7D19-4C64-89DA-F1E817BC9407}"/>
  <tableColumns count="8">
    <tableColumn id="9" xr3:uid="{46F754B7-CCBF-4AFE-AF5B-C2EC243962EF}" name="産業大分類" totalsRowLabel="合計" totalsRowDxfId="531"/>
    <tableColumn id="10" xr3:uid="{BDE4D07A-2A2B-463B-A89E-BC6E77FCD206}" name="総数／事業所数" totalsRowFunction="custom" totalsRowDxfId="530" dataCellStyle="桁区切り" totalsRowCellStyle="桁区切り">
      <totalsRowFormula>SUM(LTBL_40225[総数／事業所数])</totalsRowFormula>
    </tableColumn>
    <tableColumn id="11" xr3:uid="{A60E3C0C-2FDA-4DB6-9673-1816E363133C}" name="総数／構成比" dataDxfId="529"/>
    <tableColumn id="12" xr3:uid="{41DB2A6B-DBE0-45A6-9962-C29A54723DBE}" name="個人／事業所数" totalsRowFunction="sum" totalsRowDxfId="528" dataCellStyle="桁区切り" totalsRowCellStyle="桁区切り"/>
    <tableColumn id="13" xr3:uid="{48A675BF-D672-48F1-9094-A84BD95EAB63}" name="個人／構成比" dataDxfId="527"/>
    <tableColumn id="14" xr3:uid="{AC2F8452-E9B2-4802-95F3-4BEF11D3F7AB}" name="法人／事業所数" totalsRowFunction="sum" totalsRowDxfId="526" dataCellStyle="桁区切り" totalsRowCellStyle="桁区切り"/>
    <tableColumn id="15" xr3:uid="{7615AF93-EEA1-45E8-AA0D-B0635F10C5DB}" name="法人／構成比" dataDxfId="525"/>
    <tableColumn id="16" xr3:uid="{9B2E54C8-5715-4F85-AA3E-FA0DBE4FA229}" name="法人以外の団体／事業所数" totalsRowFunction="sum" totalsRowDxfId="524" dataCellStyle="桁区切り" totalsRow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78301CC2-5F7E-49CE-AA0D-38DAB1C23960}" name="M_TABLE_40225" displayName="M_TABLE_40225" ref="B23:I47" totalsRowShown="0">
  <autoFilter ref="B23:I47" xr:uid="{78301CC2-5F7E-49CE-AA0D-38DAB1C23960}"/>
  <tableColumns count="8">
    <tableColumn id="9" xr3:uid="{342150D8-FE69-4597-AA7F-67148B1C9B17}" name="産業中分類上位２０"/>
    <tableColumn id="10" xr3:uid="{1F85B78B-EBBD-428E-8FC6-D144994D544A}" name="総数／事業所数" dataCellStyle="桁区切り"/>
    <tableColumn id="11" xr3:uid="{82B31B70-EE66-4FC3-A5EF-F03E8811FF59}" name="総数／構成比" dataDxfId="523"/>
    <tableColumn id="12" xr3:uid="{FEB288A3-C2F2-42AE-92AD-DF22639056F8}" name="個人／事業所数" dataCellStyle="桁区切り"/>
    <tableColumn id="13" xr3:uid="{53E320E7-11DD-40E4-929F-927EA9B31740}" name="個人／構成比" dataDxfId="522"/>
    <tableColumn id="14" xr3:uid="{6BF2CBE6-AE71-46EA-B1A0-781281D77009}" name="法人／事業所数" dataCellStyle="桁区切り"/>
    <tableColumn id="15" xr3:uid="{1FE34B4E-EAF0-4ACD-B2BA-DED51902F081}" name="法人／構成比" dataDxfId="521"/>
    <tableColumn id="16" xr3:uid="{AA5B9852-1533-4F77-B815-C181E09635D8}" name="法人以外の団体／事業所数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81B0D3D3-2051-40C1-8972-21C72756311E}" name="S_TABLE_40225" displayName="S_TABLE_40225" ref="B50:I73" totalsRowShown="0">
  <autoFilter ref="B50:I73" xr:uid="{81B0D3D3-2051-40C1-8972-21C72756311E}"/>
  <tableColumns count="8">
    <tableColumn id="9" xr3:uid="{16D7FC60-3E92-4193-B858-C743121A1EB9}" name="産業小分類上位２０"/>
    <tableColumn id="10" xr3:uid="{0379AE00-D587-4624-B402-0EBA787409CE}" name="総数／事業所数" dataCellStyle="桁区切り"/>
    <tableColumn id="11" xr3:uid="{F06D1DC3-67E6-424E-B5F2-2920DC9FFADE}" name="総数／構成比" dataDxfId="520"/>
    <tableColumn id="12" xr3:uid="{C75AB925-BBB3-433F-95A6-F0456B6E9450}" name="個人／事業所数" dataCellStyle="桁区切り"/>
    <tableColumn id="13" xr3:uid="{EB777113-91B1-44DE-B624-77ABC316A25F}" name="個人／構成比" dataDxfId="519"/>
    <tableColumn id="14" xr3:uid="{A6EF376C-0D1D-49F3-8246-AFD3D7D7D73C}" name="法人／事業所数" dataCellStyle="桁区切り"/>
    <tableColumn id="15" xr3:uid="{C1ADEAB8-4B59-421F-8D1A-CA3554C4E8A0}" name="法人／構成比" dataDxfId="518"/>
    <tableColumn id="16" xr3:uid="{90B5FA6B-A04E-4465-A2A4-E2A9FCDA89F1}" name="法人以外の団体／事業所数" dataCellStyle="桁区切り"/>
  </tableColumns>
  <tableStyleInfo name="TableStyleMedium9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019439DA-82B3-4448-BCAA-0D70ECB0B588}" name="LTBL_40226" displayName="LTBL_40226" ref="B4:I20" totalsRowCount="1">
  <autoFilter ref="B4:I19" xr:uid="{019439DA-82B3-4448-BCAA-0D70ECB0B588}"/>
  <tableColumns count="8">
    <tableColumn id="9" xr3:uid="{B879F20E-A036-4FFB-A637-48AB9348918E}" name="産業大分類" totalsRowLabel="合計" totalsRowDxfId="517"/>
    <tableColumn id="10" xr3:uid="{C39B25FF-881E-455D-91D4-71505CA21A10}" name="総数／事業所数" totalsRowFunction="custom" totalsRowDxfId="516" dataCellStyle="桁区切り" totalsRowCellStyle="桁区切り">
      <totalsRowFormula>SUM(LTBL_40226[総数／事業所数])</totalsRowFormula>
    </tableColumn>
    <tableColumn id="11" xr3:uid="{F0E62DAA-AA09-4178-A0C9-35E96DAA66B3}" name="総数／構成比" dataDxfId="515"/>
    <tableColumn id="12" xr3:uid="{C23B37CB-7348-4E75-A034-4660BB2FF27E}" name="個人／事業所数" totalsRowFunction="sum" totalsRowDxfId="514" dataCellStyle="桁区切り" totalsRowCellStyle="桁区切り"/>
    <tableColumn id="13" xr3:uid="{2FFF16AB-70D8-4D2C-86CC-835980BCACD7}" name="個人／構成比" dataDxfId="513"/>
    <tableColumn id="14" xr3:uid="{72C8633B-A69A-47F8-9AAE-A0C80AB7CC9C}" name="法人／事業所数" totalsRowFunction="sum" totalsRowDxfId="512" dataCellStyle="桁区切り" totalsRowCellStyle="桁区切り"/>
    <tableColumn id="15" xr3:uid="{5CE01AE0-6C77-483E-8F0B-4CE2F713AA10}" name="法人／構成比" dataDxfId="511"/>
    <tableColumn id="16" xr3:uid="{15CF3586-5C10-403E-A8F0-542B5C66152C}" name="法人以外の団体／事業所数" totalsRowFunction="sum" totalsRowDxfId="510" dataCellStyle="桁区切り" totalsRow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B47F7B6E-BCD8-4025-8C63-FFF442A53D65}" name="M_TABLE_40226" displayName="M_TABLE_40226" ref="B23:I43" totalsRowShown="0">
  <autoFilter ref="B23:I43" xr:uid="{B47F7B6E-BCD8-4025-8C63-FFF442A53D65}"/>
  <tableColumns count="8">
    <tableColumn id="9" xr3:uid="{A7EC1006-C0F9-4A6C-AF9D-C612B2DE4C6E}" name="産業中分類上位２０"/>
    <tableColumn id="10" xr3:uid="{E2DF393F-6157-4975-9F90-FFD81F680E9B}" name="総数／事業所数" dataCellStyle="桁区切り"/>
    <tableColumn id="11" xr3:uid="{B80CC3E1-205B-42C5-8509-9A326F9325A1}" name="総数／構成比" dataDxfId="509"/>
    <tableColumn id="12" xr3:uid="{78377F4D-7D25-472D-B8FB-B09568F5293D}" name="個人／事業所数" dataCellStyle="桁区切り"/>
    <tableColumn id="13" xr3:uid="{63BD3A9A-171A-457B-B516-9C5335874F58}" name="個人／構成比" dataDxfId="508"/>
    <tableColumn id="14" xr3:uid="{248EDE66-BF65-4999-84E4-CDAF7C344172}" name="法人／事業所数" dataCellStyle="桁区切り"/>
    <tableColumn id="15" xr3:uid="{7E9AD343-14EA-495A-AFC7-D43D7E704F12}" name="法人／構成比" dataDxfId="507"/>
    <tableColumn id="16" xr3:uid="{A3F15FE0-3615-4A09-B3ED-BD322B517A6A}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6E1E5524-8969-4048-9C5F-913BEA3EC1EC}" name="S_TABLE_40226" displayName="S_TABLE_40226" ref="B46:I68" totalsRowShown="0">
  <autoFilter ref="B46:I68" xr:uid="{6E1E5524-8969-4048-9C5F-913BEA3EC1EC}"/>
  <tableColumns count="8">
    <tableColumn id="9" xr3:uid="{7DA5BDBB-1A24-497F-8519-92EDED781BD6}" name="産業小分類上位２０"/>
    <tableColumn id="10" xr3:uid="{1BE3E7B2-BCD5-4F0A-B8D3-906E6C667B19}" name="総数／事業所数" dataCellStyle="桁区切り"/>
    <tableColumn id="11" xr3:uid="{C5C0E894-2710-49C2-AB84-C303D16BD229}" name="総数／構成比" dataDxfId="506"/>
    <tableColumn id="12" xr3:uid="{6A103BAA-0D72-49B9-B926-B16D4D1C3DC3}" name="個人／事業所数" dataCellStyle="桁区切り"/>
    <tableColumn id="13" xr3:uid="{B580BF19-F7D5-4CB6-B11E-09DD4E1D447D}" name="個人／構成比" dataDxfId="505"/>
    <tableColumn id="14" xr3:uid="{115797CE-FB67-405D-8EA7-5AD1E9BA9F78}" name="法人／事業所数" dataCellStyle="桁区切り"/>
    <tableColumn id="15" xr3:uid="{CAD1B755-C4AC-45DE-A722-376150132724}" name="法人／構成比" dataDxfId="504"/>
    <tableColumn id="16" xr3:uid="{9FD92B52-2BFD-42FE-84BF-B03766413E03}" name="法人以外の団体／事業所数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DD86AABD-DC2B-44E5-9763-896245A9E8AB}" name="LTBL_40227" displayName="LTBL_40227" ref="B4:I20" totalsRowCount="1">
  <autoFilter ref="B4:I19" xr:uid="{DD86AABD-DC2B-44E5-9763-896245A9E8AB}"/>
  <tableColumns count="8">
    <tableColumn id="9" xr3:uid="{13E715CB-C5D7-430D-A725-3CCB496F499A}" name="産業大分類" totalsRowLabel="合計" totalsRowDxfId="503"/>
    <tableColumn id="10" xr3:uid="{A6938408-97C4-4CC0-8376-FC8D8B38DE7E}" name="総数／事業所数" totalsRowFunction="custom" totalsRowDxfId="502" dataCellStyle="桁区切り" totalsRowCellStyle="桁区切り">
      <totalsRowFormula>SUM(LTBL_40227[総数／事業所数])</totalsRowFormula>
    </tableColumn>
    <tableColumn id="11" xr3:uid="{74DF86DF-90A5-4562-AD97-C6305FFB42AC}" name="総数／構成比" dataDxfId="501"/>
    <tableColumn id="12" xr3:uid="{57DE3D47-0AE1-4FD2-8FD4-C6EC1D6C0686}" name="個人／事業所数" totalsRowFunction="sum" totalsRowDxfId="500" dataCellStyle="桁区切り" totalsRowCellStyle="桁区切り"/>
    <tableColumn id="13" xr3:uid="{627981DE-AA0E-4C08-A475-0DACCA365564}" name="個人／構成比" dataDxfId="499"/>
    <tableColumn id="14" xr3:uid="{C50A30B9-A03C-443F-8AD2-03AA6B491A60}" name="法人／事業所数" totalsRowFunction="sum" totalsRowDxfId="498" dataCellStyle="桁区切り" totalsRowCellStyle="桁区切り"/>
    <tableColumn id="15" xr3:uid="{B1A910F0-AD99-4603-AFD6-4EC4A51F021E}" name="法人／構成比" dataDxfId="497"/>
    <tableColumn id="16" xr3:uid="{8E5F90B6-69CC-480E-985B-AA383FEB5FA9}" name="法人以外の団体／事業所数" totalsRowFunction="sum" totalsRowDxfId="496" dataCellStyle="桁区切り" totalsRowCellStyle="桁区切り"/>
  </tableColumns>
  <tableStyleInfo name="TableStyleMedium9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2C802DC9-3AB1-45A2-8572-59A0CBDF12FE}" name="M_TABLE_40227" displayName="M_TABLE_40227" ref="B23:I44" totalsRowShown="0">
  <autoFilter ref="B23:I44" xr:uid="{2C802DC9-3AB1-45A2-8572-59A0CBDF12FE}"/>
  <tableColumns count="8">
    <tableColumn id="9" xr3:uid="{042B95D9-3DBF-4D0A-84B2-C2575DFCAE64}" name="産業中分類上位２０"/>
    <tableColumn id="10" xr3:uid="{26D2AB90-7AA0-4244-BF90-29FF6E14CBD9}" name="総数／事業所数" dataCellStyle="桁区切り"/>
    <tableColumn id="11" xr3:uid="{E87650BB-CC35-4EDA-A627-9250B780AA77}" name="総数／構成比" dataDxfId="495"/>
    <tableColumn id="12" xr3:uid="{54F37F42-13BD-4BE8-9FF3-036A0FCF61A0}" name="個人／事業所数" dataCellStyle="桁区切り"/>
    <tableColumn id="13" xr3:uid="{5472E026-7B91-4D37-952B-A9A11451BF97}" name="個人／構成比" dataDxfId="494"/>
    <tableColumn id="14" xr3:uid="{24B75FAE-2016-42ED-B22A-E18993E5C9C6}" name="法人／事業所数" dataCellStyle="桁区切り"/>
    <tableColumn id="15" xr3:uid="{BA17D69E-C50F-4F22-8674-CE09A56D914A}" name="法人／構成比" dataDxfId="493"/>
    <tableColumn id="16" xr3:uid="{3C66C447-FCE5-4285-9553-1307F06C436D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4225171-0140-4A4F-A484-35B188DAFCCD}" name="S_TABLE_40103" displayName="S_TABLE_40103" ref="B46:I66" totalsRowShown="0">
  <autoFilter ref="B46:I66" xr:uid="{C4225171-0140-4A4F-A484-35B188DAFCCD}"/>
  <tableColumns count="8">
    <tableColumn id="9" xr3:uid="{3E29DCD1-B3F6-414E-920A-4CB2E9C0B2BE}" name="産業小分類上位２０"/>
    <tableColumn id="10" xr3:uid="{7BF8CBBF-643F-4196-889D-0A61AB34BFA6}" name="総数／事業所数" dataCellStyle="桁区切り"/>
    <tableColumn id="11" xr3:uid="{BF5E6905-F84F-47CB-8E8A-4D33980B31C3}" name="総数／構成比" dataDxfId="996"/>
    <tableColumn id="12" xr3:uid="{6D2ABE9C-AEAC-4985-9D46-9091E6132B6A}" name="個人／事業所数" dataCellStyle="桁区切り"/>
    <tableColumn id="13" xr3:uid="{A317C42A-16D3-488E-902B-23CDFFE268AA}" name="個人／構成比" dataDxfId="995"/>
    <tableColumn id="14" xr3:uid="{0B15C08C-5F7B-47D8-A4DB-392F25BF7B68}" name="法人／事業所数" dataCellStyle="桁区切り"/>
    <tableColumn id="15" xr3:uid="{163AED37-23E9-41BC-B6D2-2709BE2FA8D1}" name="法人／構成比" dataDxfId="994"/>
    <tableColumn id="16" xr3:uid="{081017D2-6203-4D9A-BE36-0762D6DFAACE}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D8C28AAC-146A-4780-BEFA-941088216EF2}" name="S_TABLE_40227" displayName="S_TABLE_40227" ref="B47:I69" totalsRowShown="0">
  <autoFilter ref="B47:I69" xr:uid="{D8C28AAC-146A-4780-BEFA-941088216EF2}"/>
  <tableColumns count="8">
    <tableColumn id="9" xr3:uid="{353901BD-F7EB-4522-B2F0-FAF34C72AF6A}" name="産業小分類上位２０"/>
    <tableColumn id="10" xr3:uid="{F62822B9-A645-4696-B97B-97CD929E805B}" name="総数／事業所数" dataCellStyle="桁区切り"/>
    <tableColumn id="11" xr3:uid="{D459CB00-3165-4526-AC6E-2F6805872458}" name="総数／構成比" dataDxfId="492"/>
    <tableColumn id="12" xr3:uid="{B8E1DD0F-D857-4517-A4A9-25AFA305ABF2}" name="個人／事業所数" dataCellStyle="桁区切り"/>
    <tableColumn id="13" xr3:uid="{7074522B-3EAD-4BE8-9B13-0B02845E73CE}" name="個人／構成比" dataDxfId="491"/>
    <tableColumn id="14" xr3:uid="{381F2BB8-F2B7-439B-9E7F-63B9A551E2B6}" name="法人／事業所数" dataCellStyle="桁区切り"/>
    <tableColumn id="15" xr3:uid="{8CAC2013-4830-436E-9A23-8736FAAD0ED1}" name="法人／構成比" dataDxfId="490"/>
    <tableColumn id="16" xr3:uid="{9429090A-D327-424A-8F5A-A2E80441B6C4}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037B7FE1-3815-43FB-8FC8-EC891B61DDA9}" name="LTBL_40228" displayName="LTBL_40228" ref="B4:I20" totalsRowCount="1">
  <autoFilter ref="B4:I19" xr:uid="{037B7FE1-3815-43FB-8FC8-EC891B61DDA9}"/>
  <tableColumns count="8">
    <tableColumn id="9" xr3:uid="{7EB00FF4-170A-427A-ACBE-6CCF6E31BF8B}" name="産業大分類" totalsRowLabel="合計" totalsRowDxfId="489"/>
    <tableColumn id="10" xr3:uid="{E2B4E4D2-B353-4D35-BA5F-85D85BD8EC05}" name="総数／事業所数" totalsRowFunction="custom" totalsRowDxfId="488" dataCellStyle="桁区切り" totalsRowCellStyle="桁区切り">
      <totalsRowFormula>SUM(LTBL_40228[総数／事業所数])</totalsRowFormula>
    </tableColumn>
    <tableColumn id="11" xr3:uid="{56B2C1A5-8F33-4D4C-870B-96EC14EA784A}" name="総数／構成比" dataDxfId="487"/>
    <tableColumn id="12" xr3:uid="{85DADDB0-00D3-4978-83BD-7D95F4959154}" name="個人／事業所数" totalsRowFunction="sum" totalsRowDxfId="486" dataCellStyle="桁区切り" totalsRowCellStyle="桁区切り"/>
    <tableColumn id="13" xr3:uid="{F77E7D45-08EC-4257-9F9E-DAE7E29A86DC}" name="個人／構成比" dataDxfId="485"/>
    <tableColumn id="14" xr3:uid="{F2C5B9C2-204C-40FF-9EA3-4BB562EF961C}" name="法人／事業所数" totalsRowFunction="sum" totalsRowDxfId="484" dataCellStyle="桁区切り" totalsRowCellStyle="桁区切り"/>
    <tableColumn id="15" xr3:uid="{E8621209-95A8-49A4-909D-83091BBF179C}" name="法人／構成比" dataDxfId="483"/>
    <tableColumn id="16" xr3:uid="{F30CF28A-CBE0-44ED-904B-9E1C4257D3B3}" name="法人以外の団体／事業所数" totalsRowFunction="sum" totalsRowDxfId="482" dataCellStyle="桁区切り" totalsRow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46B82C9D-9B78-4A6C-A2D5-C87D605AF99C}" name="M_TABLE_40228" displayName="M_TABLE_40228" ref="B23:I43" totalsRowShown="0">
  <autoFilter ref="B23:I43" xr:uid="{46B82C9D-9B78-4A6C-A2D5-C87D605AF99C}"/>
  <tableColumns count="8">
    <tableColumn id="9" xr3:uid="{BAF2359C-F8BE-40C5-8B6C-2DBFD2CBF9AB}" name="産業中分類上位２０"/>
    <tableColumn id="10" xr3:uid="{1B486F8C-6986-45AF-9617-4D6432734DCE}" name="総数／事業所数" dataCellStyle="桁区切り"/>
    <tableColumn id="11" xr3:uid="{C9B11801-141E-4E3C-A769-7A67EDC0042D}" name="総数／構成比" dataDxfId="481"/>
    <tableColumn id="12" xr3:uid="{8DC9BE36-A29F-43D9-8AC7-A6BD71CF999C}" name="個人／事業所数" dataCellStyle="桁区切り"/>
    <tableColumn id="13" xr3:uid="{64D617BB-4F92-42A2-A309-1747E8B153DD}" name="個人／構成比" dataDxfId="480"/>
    <tableColumn id="14" xr3:uid="{67A49BC9-0766-4928-BBCF-7FCB675EF0F3}" name="法人／事業所数" dataCellStyle="桁区切り"/>
    <tableColumn id="15" xr3:uid="{B59D516A-A060-49D9-9697-05F2C98B43FA}" name="法人／構成比" dataDxfId="479"/>
    <tableColumn id="16" xr3:uid="{7C9682DE-D3DE-4503-BBF5-2E239C794D88}" name="法人以外の団体／事業所数" dataCellStyle="桁区切り"/>
  </tableColumns>
  <tableStyleInfo name="TableStyleMedium9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82FE819B-3B48-4716-AE17-C4F3D9D6AEEE}" name="S_TABLE_40228" displayName="S_TABLE_40228" ref="B46:I70" totalsRowShown="0">
  <autoFilter ref="B46:I70" xr:uid="{82FE819B-3B48-4716-AE17-C4F3D9D6AEEE}"/>
  <tableColumns count="8">
    <tableColumn id="9" xr3:uid="{91BE2824-39D1-4CC1-8530-B17C2F32F3E9}" name="産業小分類上位２０"/>
    <tableColumn id="10" xr3:uid="{1864B13F-3346-4E84-B57D-9E7C091A350C}" name="総数／事業所数" dataCellStyle="桁区切り"/>
    <tableColumn id="11" xr3:uid="{A2A95CCD-6FE9-4586-BEC9-ABD4990B7720}" name="総数／構成比" dataDxfId="478"/>
    <tableColumn id="12" xr3:uid="{0D3EE1F9-7E56-4480-BD7B-5ACAEE68FC27}" name="個人／事業所数" dataCellStyle="桁区切り"/>
    <tableColumn id="13" xr3:uid="{F731A303-08CA-4E1E-BD0E-92C7A62A0DCD}" name="個人／構成比" dataDxfId="477"/>
    <tableColumn id="14" xr3:uid="{355F6131-18D3-4866-9764-2781E13485DE}" name="法人／事業所数" dataCellStyle="桁区切り"/>
    <tableColumn id="15" xr3:uid="{65149516-A8F3-4312-B847-6051039B7ACC}" name="法人／構成比" dataDxfId="476"/>
    <tableColumn id="16" xr3:uid="{BA0B7A7C-1184-4BA8-B444-D7BE0D56DD85}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8C51DA41-6360-4625-8415-60C28288697E}" name="LTBL_40229" displayName="LTBL_40229" ref="B4:I20" totalsRowCount="1">
  <autoFilter ref="B4:I19" xr:uid="{8C51DA41-6360-4625-8415-60C28288697E}"/>
  <tableColumns count="8">
    <tableColumn id="9" xr3:uid="{C91190CD-8D35-44C3-9040-D66272B6DEB2}" name="産業大分類" totalsRowLabel="合計" totalsRowDxfId="475"/>
    <tableColumn id="10" xr3:uid="{D95A5B79-6E59-43A3-AF33-AC7D7630F14F}" name="総数／事業所数" totalsRowFunction="custom" totalsRowDxfId="474" dataCellStyle="桁区切り" totalsRowCellStyle="桁区切り">
      <totalsRowFormula>SUM(LTBL_40229[総数／事業所数])</totalsRowFormula>
    </tableColumn>
    <tableColumn id="11" xr3:uid="{43349F67-D73C-4FF0-86B9-4638D416E8D1}" name="総数／構成比" dataDxfId="473"/>
    <tableColumn id="12" xr3:uid="{B67DB0DD-9ADA-4C46-98DA-D0AE06529132}" name="個人／事業所数" totalsRowFunction="sum" totalsRowDxfId="472" dataCellStyle="桁区切り" totalsRowCellStyle="桁区切り"/>
    <tableColumn id="13" xr3:uid="{9E07E4DF-0F38-4CE5-B263-12B2D53208C6}" name="個人／構成比" dataDxfId="471"/>
    <tableColumn id="14" xr3:uid="{1FF39CEE-7FC0-47C6-9E33-33967488114A}" name="法人／事業所数" totalsRowFunction="sum" totalsRowDxfId="470" dataCellStyle="桁区切り" totalsRowCellStyle="桁区切り"/>
    <tableColumn id="15" xr3:uid="{99A55FEA-736F-4D90-9979-E1B82D28A9FC}" name="法人／構成比" dataDxfId="469"/>
    <tableColumn id="16" xr3:uid="{ECAF7E49-FD03-4FCB-947D-3FDFA732FEFC}" name="法人以外の団体／事業所数" totalsRowFunction="sum" totalsRowDxfId="468" dataCellStyle="桁区切り" totalsRow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C90933B6-667A-4D19-A135-96A5F6C1536E}" name="M_TABLE_40229" displayName="M_TABLE_40229" ref="B23:I43" totalsRowShown="0">
  <autoFilter ref="B23:I43" xr:uid="{C90933B6-667A-4D19-A135-96A5F6C1536E}"/>
  <tableColumns count="8">
    <tableColumn id="9" xr3:uid="{097186D5-D1F2-4DAC-B0DA-72CFB41E5AC3}" name="産業中分類上位２０"/>
    <tableColumn id="10" xr3:uid="{9A835638-19EE-4C92-B06B-87B79AC51142}" name="総数／事業所数" dataCellStyle="桁区切り"/>
    <tableColumn id="11" xr3:uid="{45B6AB8E-5903-4E06-A27A-0B310C963FAF}" name="総数／構成比" dataDxfId="467"/>
    <tableColumn id="12" xr3:uid="{5A593308-9315-4403-AB4F-2D434DC8C5CF}" name="個人／事業所数" dataCellStyle="桁区切り"/>
    <tableColumn id="13" xr3:uid="{CFDFFD8D-91BF-4E9A-A3BE-2E921C05857E}" name="個人／構成比" dataDxfId="466"/>
    <tableColumn id="14" xr3:uid="{35FAB7E9-FA6D-4174-918A-04C750515B26}" name="法人／事業所数" dataCellStyle="桁区切り"/>
    <tableColumn id="15" xr3:uid="{0070FDD9-A1E9-4418-9454-00C630ABF20D}" name="法人／構成比" dataDxfId="465"/>
    <tableColumn id="16" xr3:uid="{42E98E77-C4EB-4D5F-87F9-018E5FECD3CE}" name="法人以外の団体／事業所数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32A3A252-A2DB-4F66-A346-1758C6494B4D}" name="S_TABLE_40229" displayName="S_TABLE_40229" ref="B46:I71" totalsRowShown="0">
  <autoFilter ref="B46:I71" xr:uid="{32A3A252-A2DB-4F66-A346-1758C6494B4D}"/>
  <tableColumns count="8">
    <tableColumn id="9" xr3:uid="{E5F13B96-E489-4765-9217-14895336767A}" name="産業小分類上位２０"/>
    <tableColumn id="10" xr3:uid="{968025E1-95A3-42B2-95FC-F972F5EA925E}" name="総数／事業所数" dataCellStyle="桁区切り"/>
    <tableColumn id="11" xr3:uid="{6E9591B6-4E2F-4EF7-9E4E-75460CB68E42}" name="総数／構成比" dataDxfId="464"/>
    <tableColumn id="12" xr3:uid="{A1C388FD-5AB5-4879-B5B0-FD5487B5541A}" name="個人／事業所数" dataCellStyle="桁区切り"/>
    <tableColumn id="13" xr3:uid="{2EFC572D-6109-43A1-B16F-E44437825584}" name="個人／構成比" dataDxfId="463"/>
    <tableColumn id="14" xr3:uid="{CD3A060E-B329-4688-8344-BFF4CEA58914}" name="法人／事業所数" dataCellStyle="桁区切り"/>
    <tableColumn id="15" xr3:uid="{115628B0-FA89-4A9F-A4FC-3BD6D2FE7658}" name="法人／構成比" dataDxfId="462"/>
    <tableColumn id="16" xr3:uid="{F3F3840F-253A-453E-A710-8F1DA6D8FFBD}" name="法人以外の団体／事業所数" dataCellStyle="桁区切り"/>
  </tableColumns>
  <tableStyleInfo name="TableStyleMedium9" showFirstColumn="0" showLastColumn="0" showRowStripes="1" showColumnStripes="0"/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FA8D489F-8DCB-414E-85A3-750EAED1F90E}" name="LTBL_40230" displayName="LTBL_40230" ref="B4:I20" totalsRowCount="1">
  <autoFilter ref="B4:I19" xr:uid="{FA8D489F-8DCB-414E-85A3-750EAED1F90E}"/>
  <tableColumns count="8">
    <tableColumn id="9" xr3:uid="{CE57836B-E675-4D7F-B021-4DAD173DC31B}" name="産業大分類" totalsRowLabel="合計" totalsRowDxfId="461"/>
    <tableColumn id="10" xr3:uid="{CEB80818-FBFD-44A0-8232-D360E9E5BEC7}" name="総数／事業所数" totalsRowFunction="custom" totalsRowDxfId="460" dataCellStyle="桁区切り" totalsRowCellStyle="桁区切り">
      <totalsRowFormula>SUM(LTBL_40230[総数／事業所数])</totalsRowFormula>
    </tableColumn>
    <tableColumn id="11" xr3:uid="{47FF661F-F9BE-41D7-BC05-17DB8AD6F4D1}" name="総数／構成比" dataDxfId="459"/>
    <tableColumn id="12" xr3:uid="{4B95FE1A-3CCA-4846-9162-175BCFBAEECB}" name="個人／事業所数" totalsRowFunction="sum" totalsRowDxfId="458" dataCellStyle="桁区切り" totalsRowCellStyle="桁区切り"/>
    <tableColumn id="13" xr3:uid="{81075D07-8225-49F5-ACE8-1BF32AB00113}" name="個人／構成比" dataDxfId="457"/>
    <tableColumn id="14" xr3:uid="{6757007D-45B6-4712-83F7-452D1E961513}" name="法人／事業所数" totalsRowFunction="sum" totalsRowDxfId="456" dataCellStyle="桁区切り" totalsRowCellStyle="桁区切り"/>
    <tableColumn id="15" xr3:uid="{2E01B95E-70B0-4017-AD10-8E90A7A1F688}" name="法人／構成比" dataDxfId="455"/>
    <tableColumn id="16" xr3:uid="{8F91B068-9351-4981-B9A0-93ABC4EB6F72}" name="法人以外の団体／事業所数" totalsRowFunction="sum" totalsRowDxfId="454" dataCellStyle="桁区切り" totalsRow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1818ED94-B551-4075-9346-24790C7B77E7}" name="M_TABLE_40230" displayName="M_TABLE_40230" ref="B23:I43" totalsRowShown="0">
  <autoFilter ref="B23:I43" xr:uid="{1818ED94-B551-4075-9346-24790C7B77E7}"/>
  <tableColumns count="8">
    <tableColumn id="9" xr3:uid="{0F1A821B-E7EC-429F-87AA-32BC2CB6C78A}" name="産業中分類上位２０"/>
    <tableColumn id="10" xr3:uid="{B348B408-06E3-4178-BFF0-03899AA7118F}" name="総数／事業所数" dataCellStyle="桁区切り"/>
    <tableColumn id="11" xr3:uid="{51A49D05-89B8-4DC9-8F99-8F8268804592}" name="総数／構成比" dataDxfId="453"/>
    <tableColumn id="12" xr3:uid="{A03CBB33-D7AE-47B2-88CD-352AB2B3171F}" name="個人／事業所数" dataCellStyle="桁区切り"/>
    <tableColumn id="13" xr3:uid="{7A388E09-E495-4909-9C76-271709E69B14}" name="個人／構成比" dataDxfId="452"/>
    <tableColumn id="14" xr3:uid="{E842E840-C1B1-4626-B3D2-C667C25AB6F5}" name="法人／事業所数" dataCellStyle="桁区切り"/>
    <tableColumn id="15" xr3:uid="{28FCC350-6D90-4E2F-96D7-CB8C89FA6A03}" name="法人／構成比" dataDxfId="451"/>
    <tableColumn id="16" xr3:uid="{9E58066B-3BE8-48BC-88B5-9A1D816C4C3C}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A92363A7-C962-4F7C-994C-A54A050A2AE9}" name="S_TABLE_40230" displayName="S_TABLE_40230" ref="B46:I67" totalsRowShown="0">
  <autoFilter ref="B46:I67" xr:uid="{A92363A7-C962-4F7C-994C-A54A050A2AE9}"/>
  <tableColumns count="8">
    <tableColumn id="9" xr3:uid="{A43B3714-03C4-435B-82F3-516D006DDB9F}" name="産業小分類上位２０"/>
    <tableColumn id="10" xr3:uid="{95466A00-E526-4516-A2C9-BDBFD48AF1EA}" name="総数／事業所数" dataCellStyle="桁区切り"/>
    <tableColumn id="11" xr3:uid="{8DAAFCAD-7DC6-40A1-9317-A5B4858F797E}" name="総数／構成比" dataDxfId="450"/>
    <tableColumn id="12" xr3:uid="{D6774A7C-E513-42AE-A6F0-8EC0437CC116}" name="個人／事業所数" dataCellStyle="桁区切り"/>
    <tableColumn id="13" xr3:uid="{08A8061B-4EC0-482E-9F88-543C8610231D}" name="個人／構成比" dataDxfId="449"/>
    <tableColumn id="14" xr3:uid="{B419734A-1D4F-4E9F-9BBE-732C7335DA5E}" name="法人／事業所数" dataCellStyle="桁区切り"/>
    <tableColumn id="15" xr3:uid="{716A09F2-5361-4184-B750-C61860757AA8}" name="法人／構成比" dataDxfId="448"/>
    <tableColumn id="16" xr3:uid="{B33AC7B4-E475-469E-8C19-5616A948298E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015EB34-DE95-4CA4-AE0F-714A11CF9429}" name="LTBL_40105" displayName="LTBL_40105" ref="B4:I20" totalsRowCount="1">
  <autoFilter ref="B4:I19" xr:uid="{3015EB34-DE95-4CA4-AE0F-714A11CF9429}"/>
  <tableColumns count="8">
    <tableColumn id="9" xr3:uid="{36A94C06-AC73-46BE-8025-ACB7C23B79A8}" name="産業大分類" totalsRowLabel="合計" totalsRowDxfId="993"/>
    <tableColumn id="10" xr3:uid="{BAA33A0C-E47B-4C87-A0BB-D0013D1901AD}" name="総数／事業所数" totalsRowFunction="custom" totalsRowDxfId="992" dataCellStyle="桁区切り" totalsRowCellStyle="桁区切り">
      <totalsRowFormula>SUM(LTBL_40105[総数／事業所数])</totalsRowFormula>
    </tableColumn>
    <tableColumn id="11" xr3:uid="{FB289797-63F2-470F-B997-6F5A1AC30305}" name="総数／構成比" dataDxfId="991"/>
    <tableColumn id="12" xr3:uid="{261B9341-2E15-46F2-9B13-B67C1E24C2ED}" name="個人／事業所数" totalsRowFunction="sum" totalsRowDxfId="990" dataCellStyle="桁区切り" totalsRowCellStyle="桁区切り"/>
    <tableColumn id="13" xr3:uid="{3CA483C8-9AA3-4255-9B47-96681FAB56CF}" name="個人／構成比" dataDxfId="989"/>
    <tableColumn id="14" xr3:uid="{9E919150-2B68-4387-8AAB-E55D1D67BB1F}" name="法人／事業所数" totalsRowFunction="sum" totalsRowDxfId="988" dataCellStyle="桁区切り" totalsRowCellStyle="桁区切り"/>
    <tableColumn id="15" xr3:uid="{F60BF937-7D07-46B2-BDE5-3300FA237443}" name="法人／構成比" dataDxfId="987"/>
    <tableColumn id="16" xr3:uid="{4EB7FF69-14A7-41B4-AEBE-3E7D477E07BE}" name="法人以外の団体／事業所数" totalsRowFunction="sum" totalsRowDxfId="986" dataCellStyle="桁区切り" totalsRowCellStyle="桁区切り"/>
  </tableColumns>
  <tableStyleInfo name="TableStyleMedium9" showFirstColumn="0" showLastColumn="0" showRowStripes="1" showColumnStripes="0"/>
</table>
</file>

<file path=xl/tables/table1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C39C2F9D-1BEB-4E61-B540-D15ABF57DF53}" name="LTBL_40231" displayName="LTBL_40231" ref="B4:I20" totalsRowCount="1">
  <autoFilter ref="B4:I19" xr:uid="{C39C2F9D-1BEB-4E61-B540-D15ABF57DF53}"/>
  <tableColumns count="8">
    <tableColumn id="9" xr3:uid="{0C452EB0-3FFF-4826-9185-A38F5EDF13E3}" name="産業大分類" totalsRowLabel="合計" totalsRowDxfId="447"/>
    <tableColumn id="10" xr3:uid="{AD5DD806-61B5-4C81-85C6-813AE8F275B2}" name="総数／事業所数" totalsRowFunction="custom" totalsRowDxfId="446" dataCellStyle="桁区切り" totalsRowCellStyle="桁区切り">
      <totalsRowFormula>SUM(LTBL_40231[総数／事業所数])</totalsRowFormula>
    </tableColumn>
    <tableColumn id="11" xr3:uid="{221D8623-D291-40FD-8CDA-507812731072}" name="総数／構成比" dataDxfId="445"/>
    <tableColumn id="12" xr3:uid="{6CB9A4FD-7FF1-4694-8098-1D3B22894205}" name="個人／事業所数" totalsRowFunction="sum" totalsRowDxfId="444" dataCellStyle="桁区切り" totalsRowCellStyle="桁区切り"/>
    <tableColumn id="13" xr3:uid="{92F55F36-1DBA-418A-AE0B-A56F302508CA}" name="個人／構成比" dataDxfId="443"/>
    <tableColumn id="14" xr3:uid="{D2A4E0A7-99AE-4F76-BBFA-6B055B3E287B}" name="法人／事業所数" totalsRowFunction="sum" totalsRowDxfId="442" dataCellStyle="桁区切り" totalsRowCellStyle="桁区切り"/>
    <tableColumn id="15" xr3:uid="{455AB573-7DA7-45FA-9621-B1B4C4C71E74}" name="法人／構成比" dataDxfId="441"/>
    <tableColumn id="16" xr3:uid="{49965AE2-5E13-4F6A-B6F3-397E99B3CE03}" name="法人以外の団体／事業所数" totalsRowFunction="sum" totalsRowDxfId="440" dataCellStyle="桁区切り" totalsRowCellStyle="桁区切り"/>
  </tableColumns>
  <tableStyleInfo name="TableStyleMedium9" showFirstColumn="0" showLastColumn="0" showRowStripes="1" showColumnStripes="0"/>
</table>
</file>

<file path=xl/tables/table1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43B34603-2141-4E81-85D7-35621AC7F89C}" name="M_TABLE_40231" displayName="M_TABLE_40231" ref="B23:I43" totalsRowShown="0">
  <autoFilter ref="B23:I43" xr:uid="{43B34603-2141-4E81-85D7-35621AC7F89C}"/>
  <tableColumns count="8">
    <tableColumn id="9" xr3:uid="{C6ABA86C-693D-4B2D-9003-B5ECE63F2BCA}" name="産業中分類上位２０"/>
    <tableColumn id="10" xr3:uid="{EF693E99-6561-45BB-BDC8-95ECE3187FD9}" name="総数／事業所数" dataCellStyle="桁区切り"/>
    <tableColumn id="11" xr3:uid="{26237A5B-E22F-4D4F-B92A-E704011E2B5A}" name="総数／構成比" dataDxfId="439"/>
    <tableColumn id="12" xr3:uid="{8962F6C9-0BD7-4641-AAC3-A3B1BE56CA07}" name="個人／事業所数" dataCellStyle="桁区切り"/>
    <tableColumn id="13" xr3:uid="{883C7779-5ADE-46DB-8F4D-D021A89498A9}" name="個人／構成比" dataDxfId="438"/>
    <tableColumn id="14" xr3:uid="{C672C98D-E2A2-4F40-9F4C-393223CF1425}" name="法人／事業所数" dataCellStyle="桁区切り"/>
    <tableColumn id="15" xr3:uid="{DDF64F7B-15DD-4548-847E-34B3B43F0492}" name="法人／構成比" dataDxfId="437"/>
    <tableColumn id="16" xr3:uid="{5A665337-FCA3-4E1D-939B-6BCE40701ADB}" name="法人以外の団体／事業所数" dataCellStyle="桁区切り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33DE5E96-EEC3-4220-B17D-58C025C12E14}" name="S_TABLE_40231" displayName="S_TABLE_40231" ref="B46:I68" totalsRowShown="0">
  <autoFilter ref="B46:I68" xr:uid="{33DE5E96-EEC3-4220-B17D-58C025C12E14}"/>
  <tableColumns count="8">
    <tableColumn id="9" xr3:uid="{BA60E218-3FB3-44D1-ADE1-2639166E3E0E}" name="産業小分類上位２０"/>
    <tableColumn id="10" xr3:uid="{C1610E99-42A8-4CB8-988C-C0EBDF1FC7D1}" name="総数／事業所数" dataCellStyle="桁区切り"/>
    <tableColumn id="11" xr3:uid="{16E3810F-E1CA-466F-8413-1106C8985B6D}" name="総数／構成比" dataDxfId="436"/>
    <tableColumn id="12" xr3:uid="{7A6E59F4-287B-4D4E-89E3-4A6E7F03C0C5}" name="個人／事業所数" dataCellStyle="桁区切り"/>
    <tableColumn id="13" xr3:uid="{BDDC9FB6-9F94-4F6F-B7B5-F0F1E010F067}" name="個人／構成比" dataDxfId="435"/>
    <tableColumn id="14" xr3:uid="{21136CC0-8F70-4CD2-B01A-DB86A5276E3D}" name="法人／事業所数" dataCellStyle="桁区切り"/>
    <tableColumn id="15" xr3:uid="{56751C3B-C6BE-4467-824F-DA854A8F8AD7}" name="法人／構成比" dataDxfId="434"/>
    <tableColumn id="16" xr3:uid="{BCA7F604-9E92-476C-B2A7-7E824243A15B}" name="法人以外の団体／事業所数" dataCellStyle="桁区切り"/>
  </tableColumns>
  <tableStyleInfo name="TableStyleMedium9" showFirstColumn="0" showLastColumn="0" showRowStripes="1" showColumnStripes="0"/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43803ABC-A155-4D63-85E1-5766495D83C7}" name="LTBL_40341" displayName="LTBL_40341" ref="B4:I20" totalsRowCount="1">
  <autoFilter ref="B4:I19" xr:uid="{43803ABC-A155-4D63-85E1-5766495D83C7}"/>
  <tableColumns count="8">
    <tableColumn id="9" xr3:uid="{DD28EBCB-A6BD-4431-B5F0-990BB1B23A38}" name="産業大分類" totalsRowLabel="合計" totalsRowDxfId="433"/>
    <tableColumn id="10" xr3:uid="{4C0EB1F1-6B06-4729-9D31-9C49CF8DD54E}" name="総数／事業所数" totalsRowFunction="custom" totalsRowDxfId="432" dataCellStyle="桁区切り" totalsRowCellStyle="桁区切り">
      <totalsRowFormula>SUM(LTBL_40341[総数／事業所数])</totalsRowFormula>
    </tableColumn>
    <tableColumn id="11" xr3:uid="{00715947-227D-4039-BE06-E9D5F90EA422}" name="総数／構成比" dataDxfId="431"/>
    <tableColumn id="12" xr3:uid="{2997C7CA-7929-4399-A1C8-0898C3EF0050}" name="個人／事業所数" totalsRowFunction="sum" totalsRowDxfId="430" dataCellStyle="桁区切り" totalsRowCellStyle="桁区切り"/>
    <tableColumn id="13" xr3:uid="{686FA411-C5DF-42CC-B41F-E6A1598E2149}" name="個人／構成比" dataDxfId="429"/>
    <tableColumn id="14" xr3:uid="{66B67AAD-EDBA-45BB-A062-09D9E4668DE5}" name="法人／事業所数" totalsRowFunction="sum" totalsRowDxfId="428" dataCellStyle="桁区切り" totalsRowCellStyle="桁区切り"/>
    <tableColumn id="15" xr3:uid="{341EAA77-0E6A-4800-AE67-BF42F93D2E58}" name="法人／構成比" dataDxfId="427"/>
    <tableColumn id="16" xr3:uid="{A86189DF-3F33-403A-AD3F-B70C078F1B1D}" name="法人以外の団体／事業所数" totalsRowFunction="sum" totalsRowDxfId="426" dataCellStyle="桁区切り" totalsRowCellStyle="桁区切り"/>
  </tableColumns>
  <tableStyleInfo name="TableStyleMedium9" showFirstColumn="0" showLastColumn="0" showRowStripes="1" showColumnStripes="0"/>
</table>
</file>

<file path=xl/tables/table1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08518CFD-9D72-446B-99CA-4E2E8749C77B}" name="M_TABLE_40341" displayName="M_TABLE_40341" ref="B23:I44" totalsRowShown="0">
  <autoFilter ref="B23:I44" xr:uid="{08518CFD-9D72-446B-99CA-4E2E8749C77B}"/>
  <tableColumns count="8">
    <tableColumn id="9" xr3:uid="{BEA0C639-8E9E-4560-996F-ECDE763EB2FA}" name="産業中分類上位２０"/>
    <tableColumn id="10" xr3:uid="{116EE5DC-E57E-4C82-89B1-C102DA9E5C61}" name="総数／事業所数" dataCellStyle="桁区切り"/>
    <tableColumn id="11" xr3:uid="{11EF5135-CCE7-4629-8B76-52BB3DACE206}" name="総数／構成比" dataDxfId="425"/>
    <tableColumn id="12" xr3:uid="{049BE4B5-71B0-4844-BADC-E8B1F4FDD55B}" name="個人／事業所数" dataCellStyle="桁区切り"/>
    <tableColumn id="13" xr3:uid="{4E9728CE-397F-4FAE-83CB-A184A09C921D}" name="個人／構成比" dataDxfId="424"/>
    <tableColumn id="14" xr3:uid="{C0195905-8D56-4F90-A10D-84AC77F1D87A}" name="法人／事業所数" dataCellStyle="桁区切り"/>
    <tableColumn id="15" xr3:uid="{45AF2C26-938D-4A21-A536-013BEC076BAC}" name="法人／構成比" dataDxfId="423"/>
    <tableColumn id="16" xr3:uid="{F76A90B6-E5FB-48E3-92C6-1D80353E9CF9}" name="法人以外の団体／事業所数" dataCellStyle="桁区切り"/>
  </tableColumns>
  <tableStyleInfo name="TableStyleMedium9" showFirstColumn="0" showLastColumn="0" showRowStripes="1" showColumnStripes="0"/>
</table>
</file>

<file path=xl/tables/table1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C0CD9142-BD18-462C-892E-862E6642570B}" name="S_TABLE_40341" displayName="S_TABLE_40341" ref="B47:I67" totalsRowShown="0">
  <autoFilter ref="B47:I67" xr:uid="{C0CD9142-BD18-462C-892E-862E6642570B}"/>
  <tableColumns count="8">
    <tableColumn id="9" xr3:uid="{0CE168E7-8E75-4F5F-9BC9-5AECF917C66E}" name="産業小分類上位２０"/>
    <tableColumn id="10" xr3:uid="{631FC23A-83B6-4813-91F6-C3E70B84A630}" name="総数／事業所数" dataCellStyle="桁区切り"/>
    <tableColumn id="11" xr3:uid="{967A9C60-3CFE-4BCF-BBDB-221EB488BE1E}" name="総数／構成比" dataDxfId="422"/>
    <tableColumn id="12" xr3:uid="{94C91FE9-E229-44E9-BE29-B7373E85A544}" name="個人／事業所数" dataCellStyle="桁区切り"/>
    <tableColumn id="13" xr3:uid="{97517515-E3FB-44F0-8869-155351955BE0}" name="個人／構成比" dataDxfId="421"/>
    <tableColumn id="14" xr3:uid="{6580D939-5979-4359-9A8F-FAA4DCA46698}" name="法人／事業所数" dataCellStyle="桁区切り"/>
    <tableColumn id="15" xr3:uid="{02C8EBF7-60C4-412C-A477-AD4950F21B7C}" name="法人／構成比" dataDxfId="420"/>
    <tableColumn id="16" xr3:uid="{86D74C23-1A5C-4494-89C0-EF6AAE467CA6}" name="法人以外の団体／事業所数" dataCellStyle="桁区切り"/>
  </tableColumns>
  <tableStyleInfo name="TableStyleMedium9" showFirstColumn="0" showLastColumn="0" showRowStripes="1" showColumnStripes="0"/>
</table>
</file>

<file path=xl/tables/table1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0DAE0046-0DA3-40E0-B44D-C50838C9070D}" name="LTBL_40342" displayName="LTBL_40342" ref="B4:I20" totalsRowCount="1">
  <autoFilter ref="B4:I19" xr:uid="{0DAE0046-0DA3-40E0-B44D-C50838C9070D}"/>
  <tableColumns count="8">
    <tableColumn id="9" xr3:uid="{DC729307-DC90-45C4-9B6A-DB4CC042C188}" name="産業大分類" totalsRowLabel="合計" totalsRowDxfId="419"/>
    <tableColumn id="10" xr3:uid="{38C9CFB4-36E4-4B5C-8D43-DD97D1E9B06A}" name="総数／事業所数" totalsRowFunction="custom" totalsRowDxfId="418" dataCellStyle="桁区切り" totalsRowCellStyle="桁区切り">
      <totalsRowFormula>SUM(LTBL_40342[総数／事業所数])</totalsRowFormula>
    </tableColumn>
    <tableColumn id="11" xr3:uid="{66A0DDA7-6484-40C0-BC72-36D4FC907643}" name="総数／構成比" dataDxfId="417"/>
    <tableColumn id="12" xr3:uid="{C0D47E51-CC0D-4754-8EBB-A2A92F9DC5C9}" name="個人／事業所数" totalsRowFunction="sum" totalsRowDxfId="416" dataCellStyle="桁区切り" totalsRowCellStyle="桁区切り"/>
    <tableColumn id="13" xr3:uid="{3CF3B1D3-AA6F-44BE-A8F2-6F5EEAEF4C89}" name="個人／構成比" dataDxfId="415"/>
    <tableColumn id="14" xr3:uid="{B3083C11-D0D9-406E-908B-468035326A7B}" name="法人／事業所数" totalsRowFunction="sum" totalsRowDxfId="414" dataCellStyle="桁区切り" totalsRowCellStyle="桁区切り"/>
    <tableColumn id="15" xr3:uid="{E4FD00F6-91F1-4FE7-93E0-8F85C9048888}" name="法人／構成比" dataDxfId="413"/>
    <tableColumn id="16" xr3:uid="{0FFF2810-14BD-4734-8195-5338620BD8FF}" name="法人以外の団体／事業所数" totalsRowFunction="sum" totalsRowDxfId="412" dataCellStyle="桁区切り" totalsRowCellStyle="桁区切り"/>
  </tableColumns>
  <tableStyleInfo name="TableStyleMedium9" showFirstColumn="0" showLastColumn="0" showRowStripes="1" showColumnStripes="0"/>
</table>
</file>

<file path=xl/tables/table1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C4DD4576-66B9-4953-B634-0E05C645C89C}" name="M_TABLE_40342" displayName="M_TABLE_40342" ref="B23:I45" totalsRowShown="0">
  <autoFilter ref="B23:I45" xr:uid="{C4DD4576-66B9-4953-B634-0E05C645C89C}"/>
  <tableColumns count="8">
    <tableColumn id="9" xr3:uid="{261C07FA-485E-4CE2-B32C-46DDBA74FFF7}" name="産業中分類上位２０"/>
    <tableColumn id="10" xr3:uid="{C1E41EA8-2AD1-4114-A7A4-575651841842}" name="総数／事業所数" dataCellStyle="桁区切り"/>
    <tableColumn id="11" xr3:uid="{A301D58A-53A8-4F83-8B67-2F181F61C648}" name="総数／構成比" dataDxfId="411"/>
    <tableColumn id="12" xr3:uid="{9271366E-0558-4609-A186-FE7A16F3D691}" name="個人／事業所数" dataCellStyle="桁区切り"/>
    <tableColumn id="13" xr3:uid="{7D82B815-7E7D-4954-B11E-A365C459894C}" name="個人／構成比" dataDxfId="410"/>
    <tableColumn id="14" xr3:uid="{D8CD413C-7C6D-4FB9-983A-1C1FCC5ED70B}" name="法人／事業所数" dataCellStyle="桁区切り"/>
    <tableColumn id="15" xr3:uid="{26B03C5C-8754-4A3B-ACB5-B8E83AAC9517}" name="法人／構成比" dataDxfId="409"/>
    <tableColumn id="16" xr3:uid="{04DE5DC6-EB61-432D-813C-2346D71DFABE}" name="法人以外の団体／事業所数" dataCellStyle="桁区切り"/>
  </tableColumns>
  <tableStyleInfo name="TableStyleMedium9" showFirstColumn="0" showLastColumn="0" showRowStripes="1" showColumnStripes="0"/>
</table>
</file>

<file path=xl/tables/table1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BAEFD5B9-E1B1-44FA-88D8-725C0F669EC6}" name="S_TABLE_40342" displayName="S_TABLE_40342" ref="B48:I74" totalsRowShown="0">
  <autoFilter ref="B48:I74" xr:uid="{BAEFD5B9-E1B1-44FA-88D8-725C0F669EC6}"/>
  <tableColumns count="8">
    <tableColumn id="9" xr3:uid="{AEF8A012-0AE3-4C6D-9BA0-E5E580FD0726}" name="産業小分類上位２０"/>
    <tableColumn id="10" xr3:uid="{7BDC1206-006D-4862-9CAA-309758A8D2A3}" name="総数／事業所数" dataCellStyle="桁区切り"/>
    <tableColumn id="11" xr3:uid="{5DEDCF62-361A-44BB-929C-E8FF01F86FA0}" name="総数／構成比" dataDxfId="408"/>
    <tableColumn id="12" xr3:uid="{00BBD669-C094-485D-8A00-FA436F6F07C2}" name="個人／事業所数" dataCellStyle="桁区切り"/>
    <tableColumn id="13" xr3:uid="{E50EB328-4E43-4051-A337-A6D93B5021E7}" name="個人／構成比" dataDxfId="407"/>
    <tableColumn id="14" xr3:uid="{6D570D0B-7596-4510-9E87-AE2D00005676}" name="法人／事業所数" dataCellStyle="桁区切り"/>
    <tableColumn id="15" xr3:uid="{3BA628BF-4BDB-4CAD-B539-B382518B8307}" name="法人／構成比" dataDxfId="406"/>
    <tableColumn id="16" xr3:uid="{E9DB6932-BA0A-4AB9-84FA-8B3032F92D64}" name="法人以外の団体／事業所数" dataCellStyle="桁区切り"/>
  </tableColumns>
  <tableStyleInfo name="TableStyleMedium9" showFirstColumn="0" showLastColumn="0" showRowStripes="1" showColumnStripes="0"/>
</table>
</file>

<file path=xl/tables/table1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440088AF-F392-4ECB-8321-1FF822475276}" name="LTBL_40343" displayName="LTBL_40343" ref="B4:I20" totalsRowCount="1">
  <autoFilter ref="B4:I19" xr:uid="{440088AF-F392-4ECB-8321-1FF822475276}"/>
  <tableColumns count="8">
    <tableColumn id="9" xr3:uid="{55651975-17F3-400C-AD3F-971510E39412}" name="産業大分類" totalsRowLabel="合計" totalsRowDxfId="405"/>
    <tableColumn id="10" xr3:uid="{EFF45D8E-10C6-47FE-B457-19D20A64C080}" name="総数／事業所数" totalsRowFunction="custom" totalsRowDxfId="404" dataCellStyle="桁区切り" totalsRowCellStyle="桁区切り">
      <totalsRowFormula>SUM(LTBL_40343[総数／事業所数])</totalsRowFormula>
    </tableColumn>
    <tableColumn id="11" xr3:uid="{E07ED730-2672-40D7-BF87-D12A8E95C497}" name="総数／構成比" dataDxfId="403"/>
    <tableColumn id="12" xr3:uid="{066F1CD9-1967-4982-BABA-9B617A23F973}" name="個人／事業所数" totalsRowFunction="sum" totalsRowDxfId="402" dataCellStyle="桁区切り" totalsRowCellStyle="桁区切り"/>
    <tableColumn id="13" xr3:uid="{DE62AC28-3C09-4CCB-A16F-4CF7BADAF3F3}" name="個人／構成比" dataDxfId="401"/>
    <tableColumn id="14" xr3:uid="{38F97A05-CCD0-4825-A6F8-37B3E1317564}" name="法人／事業所数" totalsRowFunction="sum" totalsRowDxfId="400" dataCellStyle="桁区切り" totalsRowCellStyle="桁区切り"/>
    <tableColumn id="15" xr3:uid="{AC971714-273B-4C78-B270-C9B6A055713E}" name="法人／構成比" dataDxfId="399"/>
    <tableColumn id="16" xr3:uid="{E80DA554-1C6A-4CF8-B309-9CBC39834A7D}" name="法人以外の団体／事業所数" totalsRowFunction="sum" totalsRowDxfId="398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75FA824-1A8A-455E-B54F-1D41BF3A5843}" name="M_TABLE_40105" displayName="M_TABLE_40105" ref="B23:I43" totalsRowShown="0">
  <autoFilter ref="B23:I43" xr:uid="{975FA824-1A8A-455E-B54F-1D41BF3A5843}"/>
  <tableColumns count="8">
    <tableColumn id="9" xr3:uid="{7CBB4666-A2CE-44E1-A21D-0E50AA6C8F1F}" name="産業中分類上位２０"/>
    <tableColumn id="10" xr3:uid="{4749DCDF-AAF2-4F56-96D0-E4818C3E6CD3}" name="総数／事業所数" dataCellStyle="桁区切り"/>
    <tableColumn id="11" xr3:uid="{7F153398-7321-4F17-A7EB-2FB86C03571B}" name="総数／構成比" dataDxfId="985"/>
    <tableColumn id="12" xr3:uid="{B0974EE2-C4FD-4107-8CA6-022909160F58}" name="個人／事業所数" dataCellStyle="桁区切り"/>
    <tableColumn id="13" xr3:uid="{ED77616E-58C0-45D1-8C6A-BDD685444FB6}" name="個人／構成比" dataDxfId="984"/>
    <tableColumn id="14" xr3:uid="{DCEE7C56-3295-492D-BE53-F29BB9F2146D}" name="法人／事業所数" dataCellStyle="桁区切り"/>
    <tableColumn id="15" xr3:uid="{B03D039D-2CB8-4D62-989B-A179D1613B04}" name="法人／構成比" dataDxfId="983"/>
    <tableColumn id="16" xr3:uid="{D7707B2C-BD65-463B-9B96-AFE429E01700}" name="法人以外の団体／事業所数" dataCellStyle="桁区切り"/>
  </tableColumns>
  <tableStyleInfo name="TableStyleMedium9" showFirstColumn="0" showLastColumn="0" showRowStripes="1" showColumnStripes="0"/>
</table>
</file>

<file path=xl/tables/table1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A9080005-7006-4FF2-8B46-C4CF4B247526}" name="M_TABLE_40343" displayName="M_TABLE_40343" ref="B23:I43" totalsRowShown="0">
  <autoFilter ref="B23:I43" xr:uid="{A9080005-7006-4FF2-8B46-C4CF4B247526}"/>
  <tableColumns count="8">
    <tableColumn id="9" xr3:uid="{2F9E261B-9719-4C6E-AB29-C4AA8B40CA6B}" name="産業中分類上位２０"/>
    <tableColumn id="10" xr3:uid="{71C31452-C3B7-492F-A3FF-78D1CD0920C0}" name="総数／事業所数" dataCellStyle="桁区切り"/>
    <tableColumn id="11" xr3:uid="{BF70D40E-68B2-4E66-AC8A-DF87ED421B4E}" name="総数／構成比" dataDxfId="397"/>
    <tableColumn id="12" xr3:uid="{69F23F6C-4669-4CFF-A4A9-2E38EA11A9E9}" name="個人／事業所数" dataCellStyle="桁区切り"/>
    <tableColumn id="13" xr3:uid="{65E9E3DF-CE78-468F-A4AB-29BD965518A1}" name="個人／構成比" dataDxfId="396"/>
    <tableColumn id="14" xr3:uid="{B670D7A6-FDB8-4C4E-93D0-7E1061D14128}" name="法人／事業所数" dataCellStyle="桁区切り"/>
    <tableColumn id="15" xr3:uid="{3B440504-6CDB-4813-8FFA-176D7BB05492}" name="法人／構成比" dataDxfId="395"/>
    <tableColumn id="16" xr3:uid="{DEF60E0C-31FB-4DC0-A027-D55B51B97E3B}" name="法人以外の団体／事業所数" dataCellStyle="桁区切り"/>
  </tableColumns>
  <tableStyleInfo name="TableStyleMedium9" showFirstColumn="0" showLastColumn="0" showRowStripes="1" showColumnStripes="0"/>
</table>
</file>

<file path=xl/tables/table1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6936C249-26BE-4399-858A-7D35D2335FC6}" name="S_TABLE_40343" displayName="S_TABLE_40343" ref="B46:I68" totalsRowShown="0">
  <autoFilter ref="B46:I68" xr:uid="{6936C249-26BE-4399-858A-7D35D2335FC6}"/>
  <tableColumns count="8">
    <tableColumn id="9" xr3:uid="{A5360EE6-D42A-43F6-B898-9F4F50662D97}" name="産業小分類上位２０"/>
    <tableColumn id="10" xr3:uid="{EFCB0197-5C17-41AE-8A16-2E42E0E78245}" name="総数／事業所数" dataCellStyle="桁区切り"/>
    <tableColumn id="11" xr3:uid="{6D3B3B97-783D-45B5-BB17-D4926F747DAB}" name="総数／構成比" dataDxfId="394"/>
    <tableColumn id="12" xr3:uid="{D39225BB-BC73-47C0-97C3-CB642FF2B253}" name="個人／事業所数" dataCellStyle="桁区切り"/>
    <tableColumn id="13" xr3:uid="{2A7A4F19-4AD7-47FD-BAA4-358097E3B5E5}" name="個人／構成比" dataDxfId="393"/>
    <tableColumn id="14" xr3:uid="{5BAE267B-7B6E-41C2-8549-CA2FED1CE9B2}" name="法人／事業所数" dataCellStyle="桁区切り"/>
    <tableColumn id="15" xr3:uid="{BB599F91-3782-49C6-837B-9693F56FE319}" name="法人／構成比" dataDxfId="392"/>
    <tableColumn id="16" xr3:uid="{7B1091D5-4757-40AE-9711-F1DB3A7EFDAC}" name="法人以外の団体／事業所数" dataCellStyle="桁区切り"/>
  </tableColumns>
  <tableStyleInfo name="TableStyleMedium9" showFirstColumn="0" showLastColumn="0" showRowStripes="1" showColumnStripes="0"/>
</table>
</file>

<file path=xl/tables/table1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255F26F9-571F-45FC-885B-3C26B2C98D0C}" name="LTBL_40344" displayName="LTBL_40344" ref="B4:I20" totalsRowCount="1">
  <autoFilter ref="B4:I19" xr:uid="{255F26F9-571F-45FC-885B-3C26B2C98D0C}"/>
  <tableColumns count="8">
    <tableColumn id="9" xr3:uid="{7704DF8C-766A-4501-8119-0DFA8E668A33}" name="産業大分類" totalsRowLabel="合計" totalsRowDxfId="391"/>
    <tableColumn id="10" xr3:uid="{E1DD83FB-6B24-4249-A8B1-808C99D02878}" name="総数／事業所数" totalsRowFunction="custom" totalsRowDxfId="390" dataCellStyle="桁区切り" totalsRowCellStyle="桁区切り">
      <totalsRowFormula>SUM(LTBL_40344[総数／事業所数])</totalsRowFormula>
    </tableColumn>
    <tableColumn id="11" xr3:uid="{BEC53535-80D7-40AC-A335-F474579A3BE4}" name="総数／構成比" dataDxfId="389"/>
    <tableColumn id="12" xr3:uid="{EBBE2F38-D333-4F8E-AD81-0CA02C099FC2}" name="個人／事業所数" totalsRowFunction="sum" totalsRowDxfId="388" dataCellStyle="桁区切り" totalsRowCellStyle="桁区切り"/>
    <tableColumn id="13" xr3:uid="{84828B8C-C1F0-4C95-B877-EA68A0D24A28}" name="個人／構成比" dataDxfId="387"/>
    <tableColumn id="14" xr3:uid="{B8FB7674-5523-4972-BA59-BD7583646972}" name="法人／事業所数" totalsRowFunction="sum" totalsRowDxfId="386" dataCellStyle="桁区切り" totalsRowCellStyle="桁区切り"/>
    <tableColumn id="15" xr3:uid="{5A877963-D11C-40D6-BA39-257F70238D27}" name="法人／構成比" dataDxfId="385"/>
    <tableColumn id="16" xr3:uid="{93F6CDFC-1AA2-4251-A3FE-FE5DB82439C7}" name="法人以外の団体／事業所数" totalsRowFunction="sum" totalsRowDxfId="384" dataCellStyle="桁区切り" totalsRowCellStyle="桁区切り"/>
  </tableColumns>
  <tableStyleInfo name="TableStyleMedium9" showFirstColumn="0" showLastColumn="0" showRowStripes="1" showColumnStripes="0"/>
</table>
</file>

<file path=xl/tables/table1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7BB501E9-4354-4222-8370-6FB267851F19}" name="M_TABLE_40344" displayName="M_TABLE_40344" ref="B23:I45" totalsRowShown="0">
  <autoFilter ref="B23:I45" xr:uid="{7BB501E9-4354-4222-8370-6FB267851F19}"/>
  <tableColumns count="8">
    <tableColumn id="9" xr3:uid="{EB69C0BE-B281-4FFD-9CDE-101CDAEB720E}" name="産業中分類上位２０"/>
    <tableColumn id="10" xr3:uid="{26740DC7-1D06-4796-B546-8BF3A403EA0E}" name="総数／事業所数" dataCellStyle="桁区切り"/>
    <tableColumn id="11" xr3:uid="{1A6F4FEA-1E0B-424C-B1FA-11FD08487E87}" name="総数／構成比" dataDxfId="383"/>
    <tableColumn id="12" xr3:uid="{A593B8DC-B1AB-4C40-8B04-0803FF997C0E}" name="個人／事業所数" dataCellStyle="桁区切り"/>
    <tableColumn id="13" xr3:uid="{E917DE90-E8EB-4018-B8FD-01D2010A89B5}" name="個人／構成比" dataDxfId="382"/>
    <tableColumn id="14" xr3:uid="{88253EAB-C1A5-4836-926C-483A02E524D9}" name="法人／事業所数" dataCellStyle="桁区切り"/>
    <tableColumn id="15" xr3:uid="{2BC53194-AEA2-458F-8DF4-EC14CAF59BF4}" name="法人／構成比" dataDxfId="381"/>
    <tableColumn id="16" xr3:uid="{47B4C975-5B2F-4B73-ABC7-B749DA191A0C}" name="法人以外の団体／事業所数" dataCellStyle="桁区切り"/>
  </tableColumns>
  <tableStyleInfo name="TableStyleMedium9" showFirstColumn="0" showLastColumn="0" showRowStripes="1" showColumnStripes="0"/>
</table>
</file>

<file path=xl/tables/table1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C569BCA4-1F8B-48AB-B2AE-777CC74972F0}" name="S_TABLE_40344" displayName="S_TABLE_40344" ref="B48:I69" totalsRowShown="0">
  <autoFilter ref="B48:I69" xr:uid="{C569BCA4-1F8B-48AB-B2AE-777CC74972F0}"/>
  <tableColumns count="8">
    <tableColumn id="9" xr3:uid="{2735DBA4-A1BC-4487-8619-0A871E0AB2B1}" name="産業小分類上位２０"/>
    <tableColumn id="10" xr3:uid="{ACF509A2-02BE-48A4-8227-9C3590045ECB}" name="総数／事業所数" dataCellStyle="桁区切り"/>
    <tableColumn id="11" xr3:uid="{6F43D3A3-510E-4EE2-BFBE-0ADDF17FB781}" name="総数／構成比" dataDxfId="380"/>
    <tableColumn id="12" xr3:uid="{7BE89D59-5D1B-4E2E-9A35-522E50A6D37F}" name="個人／事業所数" dataCellStyle="桁区切り"/>
    <tableColumn id="13" xr3:uid="{984A158A-9B52-41A9-A8BF-4F69D733A643}" name="個人／構成比" dataDxfId="379"/>
    <tableColumn id="14" xr3:uid="{80877D5F-7120-4595-A365-05DBDE3892AD}" name="法人／事業所数" dataCellStyle="桁区切り"/>
    <tableColumn id="15" xr3:uid="{74E23724-FCE1-44EC-A4A9-130D7ED09BB8}" name="法人／構成比" dataDxfId="378"/>
    <tableColumn id="16" xr3:uid="{85DAB53B-FC41-4AF3-BAF0-3B025A3243E7}" name="法人以外の団体／事業所数" dataCellStyle="桁区切り"/>
  </tableColumns>
  <tableStyleInfo name="TableStyleMedium9" showFirstColumn="0" showLastColumn="0" showRowStripes="1" showColumnStripes="0"/>
</table>
</file>

<file path=xl/tables/table1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56762B30-99A0-4A50-B833-C3FE6A574761}" name="LTBL_40345" displayName="LTBL_40345" ref="B4:I20" totalsRowCount="1">
  <autoFilter ref="B4:I19" xr:uid="{56762B30-99A0-4A50-B833-C3FE6A574761}"/>
  <tableColumns count="8">
    <tableColumn id="9" xr3:uid="{2211FBE6-F5B7-4613-B2D4-0C28E969D21B}" name="産業大分類" totalsRowLabel="合計" totalsRowDxfId="377"/>
    <tableColumn id="10" xr3:uid="{0DAABD5C-8069-4F2F-BA58-C3E4FD7E85B5}" name="総数／事業所数" totalsRowFunction="custom" totalsRowDxfId="376" dataCellStyle="桁区切り" totalsRowCellStyle="桁区切り">
      <totalsRowFormula>SUM(LTBL_40345[総数／事業所数])</totalsRowFormula>
    </tableColumn>
    <tableColumn id="11" xr3:uid="{829B0B6F-6FDE-4FCE-9425-0426C5F08C00}" name="総数／構成比" dataDxfId="375"/>
    <tableColumn id="12" xr3:uid="{B432AACE-1BEA-4138-885D-1ABEAD39FD53}" name="個人／事業所数" totalsRowFunction="sum" totalsRowDxfId="374" dataCellStyle="桁区切り" totalsRowCellStyle="桁区切り"/>
    <tableColumn id="13" xr3:uid="{4A718C1B-8E84-4EB0-8942-48CE503B2C9D}" name="個人／構成比" dataDxfId="373"/>
    <tableColumn id="14" xr3:uid="{191F1363-BA9D-4C74-B6F5-9A06A2040ACE}" name="法人／事業所数" totalsRowFunction="sum" totalsRowDxfId="372" dataCellStyle="桁区切り" totalsRowCellStyle="桁区切り"/>
    <tableColumn id="15" xr3:uid="{B5A7C493-9DDD-491B-A20D-843796192CE3}" name="法人／構成比" dataDxfId="371"/>
    <tableColumn id="16" xr3:uid="{C5FFF50F-E49A-4A99-BBF4-7393DB89903A}" name="法人以外の団体／事業所数" totalsRowFunction="sum" totalsRowDxfId="370" dataCellStyle="桁区切り" totalsRowCellStyle="桁区切り"/>
  </tableColumns>
  <tableStyleInfo name="TableStyleMedium9" showFirstColumn="0" showLastColumn="0" showRowStripes="1" showColumnStripes="0"/>
</table>
</file>

<file path=xl/tables/table1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DA2758AF-512B-4209-81C3-BD04736FA97A}" name="M_TABLE_40345" displayName="M_TABLE_40345" ref="B23:I43" totalsRowShown="0">
  <autoFilter ref="B23:I43" xr:uid="{DA2758AF-512B-4209-81C3-BD04736FA97A}"/>
  <tableColumns count="8">
    <tableColumn id="9" xr3:uid="{E2F1F8DD-35C1-49DE-BD22-B112DA30A1BF}" name="産業中分類上位２０"/>
    <tableColumn id="10" xr3:uid="{25FB7F7A-0855-4523-A8A3-133AD43A5665}" name="総数／事業所数" dataCellStyle="桁区切り"/>
    <tableColumn id="11" xr3:uid="{3E3CA748-01D5-4EF1-B69D-E00546E6D7CA}" name="総数／構成比" dataDxfId="369"/>
    <tableColumn id="12" xr3:uid="{F886FBD5-B48C-4736-A4FA-E31261E70E80}" name="個人／事業所数" dataCellStyle="桁区切り"/>
    <tableColumn id="13" xr3:uid="{DCD93EF1-3AE1-4054-9FEE-27DA94436C92}" name="個人／構成比" dataDxfId="368"/>
    <tableColumn id="14" xr3:uid="{0654C3C9-E939-4D28-B3D9-6FF2F490CA98}" name="法人／事業所数" dataCellStyle="桁区切り"/>
    <tableColumn id="15" xr3:uid="{1B40E70B-6FED-422B-9956-765578A00DEC}" name="法人／構成比" dataDxfId="367"/>
    <tableColumn id="16" xr3:uid="{2DAE5965-DB61-42FB-AB1C-F5076AAB92E5}" name="法人以外の団体／事業所数" dataCellStyle="桁区切り"/>
  </tableColumns>
  <tableStyleInfo name="TableStyleMedium9" showFirstColumn="0" showLastColumn="0" showRowStripes="1" showColumnStripes="0"/>
</table>
</file>

<file path=xl/tables/table1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5F0832A2-1735-46D1-8E35-95A1020045AF}" name="S_TABLE_40345" displayName="S_TABLE_40345" ref="B46:I68" totalsRowShown="0">
  <autoFilter ref="B46:I68" xr:uid="{5F0832A2-1735-46D1-8E35-95A1020045AF}"/>
  <tableColumns count="8">
    <tableColumn id="9" xr3:uid="{4D0CF8F0-EBEA-4051-AF64-A4D8F74804F4}" name="産業小分類上位２０"/>
    <tableColumn id="10" xr3:uid="{FE74BCC4-D4BF-415E-974E-7103436CB75A}" name="総数／事業所数" dataCellStyle="桁区切り"/>
    <tableColumn id="11" xr3:uid="{09F2497C-27BF-4E20-A9B0-CC48A63C6032}" name="総数／構成比" dataDxfId="366"/>
    <tableColumn id="12" xr3:uid="{F7019996-5E71-483C-8910-A1B2401D0FB2}" name="個人／事業所数" dataCellStyle="桁区切り"/>
    <tableColumn id="13" xr3:uid="{01145799-08EF-4D49-B9BA-2E96610F9BFA}" name="個人／構成比" dataDxfId="365"/>
    <tableColumn id="14" xr3:uid="{17AD0383-6BC8-4EE5-A319-49512F4C6920}" name="法人／事業所数" dataCellStyle="桁区切り"/>
    <tableColumn id="15" xr3:uid="{D75A22F8-70CD-4B72-8331-D1DB01711EFF}" name="法人／構成比" dataDxfId="364"/>
    <tableColumn id="16" xr3:uid="{E4783C96-51DB-41B1-8C0B-C7257A70652E}" name="法人以外の団体／事業所数" dataCellStyle="桁区切り"/>
  </tableColumns>
  <tableStyleInfo name="TableStyleMedium9" showFirstColumn="0" showLastColumn="0" showRowStripes="1" showColumnStripes="0"/>
</table>
</file>

<file path=xl/tables/table1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E101C237-2F4C-43F4-9C49-DE0690D746F9}" name="LTBL_40348" displayName="LTBL_40348" ref="B4:I20" totalsRowCount="1">
  <autoFilter ref="B4:I19" xr:uid="{E101C237-2F4C-43F4-9C49-DE0690D746F9}"/>
  <tableColumns count="8">
    <tableColumn id="9" xr3:uid="{88FA08F5-60A7-483B-8EE3-345205AE370C}" name="産業大分類" totalsRowLabel="合計" totalsRowDxfId="363"/>
    <tableColumn id="10" xr3:uid="{88316228-D5CA-4DA0-AE1D-4E479197DDD1}" name="総数／事業所数" totalsRowFunction="custom" totalsRowDxfId="362" dataCellStyle="桁区切り" totalsRowCellStyle="桁区切り">
      <totalsRowFormula>SUM(LTBL_40348[総数／事業所数])</totalsRowFormula>
    </tableColumn>
    <tableColumn id="11" xr3:uid="{8B1241C6-C3DF-41F2-B0E6-BBBE71AD6E31}" name="総数／構成比" dataDxfId="361"/>
    <tableColumn id="12" xr3:uid="{4D1730C5-1A59-44D7-A6E7-F2F7210FA738}" name="個人／事業所数" totalsRowFunction="sum" totalsRowDxfId="360" dataCellStyle="桁区切り" totalsRowCellStyle="桁区切り"/>
    <tableColumn id="13" xr3:uid="{9D904733-2DE0-45C0-B6AA-528F1999AC35}" name="個人／構成比" dataDxfId="359"/>
    <tableColumn id="14" xr3:uid="{24391A09-FBE6-4A7B-B51D-D484BB5CA8BD}" name="法人／事業所数" totalsRowFunction="sum" totalsRowDxfId="358" dataCellStyle="桁区切り" totalsRowCellStyle="桁区切り"/>
    <tableColumn id="15" xr3:uid="{CD3EDB0F-5320-4216-A267-AC010A5D06DD}" name="法人／構成比" dataDxfId="357"/>
    <tableColumn id="16" xr3:uid="{D8C62FBA-0407-4ECB-A396-257D199FD60F}" name="法人以外の団体／事業所数" totalsRowFunction="sum" totalsRowDxfId="356" dataCellStyle="桁区切り" totalsRowCellStyle="桁区切り"/>
  </tableColumns>
  <tableStyleInfo name="TableStyleMedium9" showFirstColumn="0" showLastColumn="0" showRowStripes="1" showColumnStripes="0"/>
</table>
</file>

<file path=xl/tables/table1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2C7B3356-43B5-4F38-A6A4-2C75D5438CF6}" name="M_TABLE_40348" displayName="M_TABLE_40348" ref="B23:I47" totalsRowShown="0">
  <autoFilter ref="B23:I47" xr:uid="{2C7B3356-43B5-4F38-A6A4-2C75D5438CF6}"/>
  <tableColumns count="8">
    <tableColumn id="9" xr3:uid="{0C404442-F7C7-4E6E-B935-2042C69613CC}" name="産業中分類上位２０"/>
    <tableColumn id="10" xr3:uid="{DCF79DBD-E1D1-4915-A69D-21E5DD0AB6CC}" name="総数／事業所数" dataCellStyle="桁区切り"/>
    <tableColumn id="11" xr3:uid="{FCD44848-2DF1-4EA3-A830-7785DD267E0D}" name="総数／構成比" dataDxfId="355"/>
    <tableColumn id="12" xr3:uid="{F8199A12-78E7-4347-9645-74271441B8BC}" name="個人／事業所数" dataCellStyle="桁区切り"/>
    <tableColumn id="13" xr3:uid="{FD10E543-C043-4944-A324-F5A8901DB1F8}" name="個人／構成比" dataDxfId="354"/>
    <tableColumn id="14" xr3:uid="{89F2F9F8-216F-4FBD-8B59-FD0E1E48A453}" name="法人／事業所数" dataCellStyle="桁区切り"/>
    <tableColumn id="15" xr3:uid="{570C50AB-1857-4788-8132-8CD9A0CC0E75}" name="法人／構成比" dataDxfId="353"/>
    <tableColumn id="16" xr3:uid="{628494D7-A6EC-4410-BBB3-753A0D283CD0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04C171D-8096-4C46-969B-2CE86C7B2208}" name="S_TABLE_40105" displayName="S_TABLE_40105" ref="B46:I67" totalsRowShown="0">
  <autoFilter ref="B46:I67" xr:uid="{404C171D-8096-4C46-969B-2CE86C7B2208}"/>
  <tableColumns count="8">
    <tableColumn id="9" xr3:uid="{FFF11DBC-3ABD-410E-A14C-BA9A30BE9174}" name="産業小分類上位２０"/>
    <tableColumn id="10" xr3:uid="{447ED8AF-78DB-4AEB-BB6B-E49E0AAFC9BB}" name="総数／事業所数" dataCellStyle="桁区切り"/>
    <tableColumn id="11" xr3:uid="{6CF9A367-C865-4BF6-8ECF-E7F36C09F387}" name="総数／構成比" dataDxfId="982"/>
    <tableColumn id="12" xr3:uid="{364469F5-FE52-4307-81F8-22C93C6212C4}" name="個人／事業所数" dataCellStyle="桁区切り"/>
    <tableColumn id="13" xr3:uid="{18F62B56-071C-420E-8566-5F110FA7E5A4}" name="個人／構成比" dataDxfId="981"/>
    <tableColumn id="14" xr3:uid="{75E78E8C-4EAF-4DB8-971C-DB4F1C0AF95A}" name="法人／事業所数" dataCellStyle="桁区切り"/>
    <tableColumn id="15" xr3:uid="{D2EDD96F-4FF4-48E6-BEC0-17982A871FF1}" name="法人／構成比" dataDxfId="980"/>
    <tableColumn id="16" xr3:uid="{53D76C1C-953C-4A78-9D12-98EEB3A7E1AD}" name="法人以外の団体／事業所数" dataCellStyle="桁区切り"/>
  </tableColumns>
  <tableStyleInfo name="TableStyleMedium9" showFirstColumn="0" showLastColumn="0" showRowStripes="1" showColumnStripes="0"/>
</table>
</file>

<file path=xl/tables/table1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C4FDDB3E-BD93-4A39-969D-DBCDA8782139}" name="S_TABLE_40348" displayName="S_TABLE_40348" ref="B50:I100" totalsRowShown="0">
  <autoFilter ref="B50:I100" xr:uid="{C4FDDB3E-BD93-4A39-969D-DBCDA8782139}"/>
  <tableColumns count="8">
    <tableColumn id="9" xr3:uid="{5449E886-9A7A-46F2-B90E-DD123ED76675}" name="産業小分類上位２０"/>
    <tableColumn id="10" xr3:uid="{91CE8C78-A44F-4E8F-85E6-4B1309955592}" name="総数／事業所数" dataCellStyle="桁区切り"/>
    <tableColumn id="11" xr3:uid="{BC368F91-DAD0-4809-AB4D-9D9BD7810B9F}" name="総数／構成比" dataDxfId="352"/>
    <tableColumn id="12" xr3:uid="{B2866CA5-1CA8-472B-928B-2C8B436EF9A9}" name="個人／事業所数" dataCellStyle="桁区切り"/>
    <tableColumn id="13" xr3:uid="{0D78014F-871E-4A16-BDD8-5124C8375631}" name="個人／構成比" dataDxfId="351"/>
    <tableColumn id="14" xr3:uid="{FF219918-99B7-4D94-A2E7-D7A3AB4B5518}" name="法人／事業所数" dataCellStyle="桁区切り"/>
    <tableColumn id="15" xr3:uid="{1341EBF7-154C-4D2B-B12F-861D12C2D3B8}" name="法人／構成比" dataDxfId="350"/>
    <tableColumn id="16" xr3:uid="{DB6BBD2A-73DB-46BE-9612-E093D7F5098F}" name="法人以外の団体／事業所数" dataCellStyle="桁区切り"/>
  </tableColumns>
  <tableStyleInfo name="TableStyleMedium9" showFirstColumn="0" showLastColumn="0" showRowStripes="1" showColumnStripes="0"/>
</table>
</file>

<file path=xl/tables/table1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8D030BE6-AE86-4BC2-9A3D-A6AF1B70548F}" name="LTBL_40349" displayName="LTBL_40349" ref="B4:I20" totalsRowCount="1">
  <autoFilter ref="B4:I19" xr:uid="{8D030BE6-AE86-4BC2-9A3D-A6AF1B70548F}"/>
  <tableColumns count="8">
    <tableColumn id="9" xr3:uid="{D8276403-6D15-4B45-B0E3-7764A422394C}" name="産業大分類" totalsRowLabel="合計" totalsRowDxfId="349"/>
    <tableColumn id="10" xr3:uid="{93C2D50F-8A0E-470B-B7B7-EF5E129B1A46}" name="総数／事業所数" totalsRowFunction="custom" totalsRowDxfId="348" dataCellStyle="桁区切り" totalsRowCellStyle="桁区切り">
      <totalsRowFormula>SUM(LTBL_40349[総数／事業所数])</totalsRowFormula>
    </tableColumn>
    <tableColumn id="11" xr3:uid="{61667794-3387-488C-8927-1FF12653867A}" name="総数／構成比" dataDxfId="347"/>
    <tableColumn id="12" xr3:uid="{D43AB0E5-5D1F-4A53-AF7E-AA30952E4BFD}" name="個人／事業所数" totalsRowFunction="sum" totalsRowDxfId="346" dataCellStyle="桁区切り" totalsRowCellStyle="桁区切り"/>
    <tableColumn id="13" xr3:uid="{7FE747AB-9F84-4C54-9344-40881805CF0D}" name="個人／構成比" dataDxfId="345"/>
    <tableColumn id="14" xr3:uid="{7520A838-45FB-49E9-A9A1-D0DB44E89651}" name="法人／事業所数" totalsRowFunction="sum" totalsRowDxfId="344" dataCellStyle="桁区切り" totalsRowCellStyle="桁区切り"/>
    <tableColumn id="15" xr3:uid="{947DF057-6871-4B9E-ACF6-4E07D6085B5C}" name="法人／構成比" dataDxfId="343"/>
    <tableColumn id="16" xr3:uid="{13EBC5FD-E46C-4F8E-88CC-BF8EFC8CAC63}" name="法人以外の団体／事業所数" totalsRowFunction="sum" totalsRowDxfId="342" dataCellStyle="桁区切り" totalsRowCellStyle="桁区切り"/>
  </tableColumns>
  <tableStyleInfo name="TableStyleMedium9" showFirstColumn="0" showLastColumn="0" showRowStripes="1" showColumnStripes="0"/>
</table>
</file>

<file path=xl/tables/table1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3A306AFE-26A3-4203-A863-7895D941060A}" name="M_TABLE_40349" displayName="M_TABLE_40349" ref="B23:I43" totalsRowShown="0">
  <autoFilter ref="B23:I43" xr:uid="{3A306AFE-26A3-4203-A863-7895D941060A}"/>
  <tableColumns count="8">
    <tableColumn id="9" xr3:uid="{0EFBC60F-DB69-4F64-BE1A-C292F3E6C775}" name="産業中分類上位２０"/>
    <tableColumn id="10" xr3:uid="{39CFD48C-1428-41A6-93F0-7321F8F7E26F}" name="総数／事業所数" dataCellStyle="桁区切り"/>
    <tableColumn id="11" xr3:uid="{EADDAB00-BD39-45E9-8793-E9115C10B974}" name="総数／構成比" dataDxfId="341"/>
    <tableColumn id="12" xr3:uid="{E7854368-4833-48AD-B2D6-E00286300543}" name="個人／事業所数" dataCellStyle="桁区切り"/>
    <tableColumn id="13" xr3:uid="{D5658ACB-1CC1-479E-859D-A8D1C2142844}" name="個人／構成比" dataDxfId="340"/>
    <tableColumn id="14" xr3:uid="{26A58459-CF16-49F7-9B0B-5ACCF8A34708}" name="法人／事業所数" dataCellStyle="桁区切り"/>
    <tableColumn id="15" xr3:uid="{8970F6C6-0D75-4895-BB40-DF555C84282F}" name="法人／構成比" dataDxfId="339"/>
    <tableColumn id="16" xr3:uid="{39ECEDED-FEB1-4DA3-A56E-EFB93E4C3BE1}" name="法人以外の団体／事業所数" dataCellStyle="桁区切り"/>
  </tableColumns>
  <tableStyleInfo name="TableStyleMedium9" showFirstColumn="0" showLastColumn="0" showRowStripes="1" showColumnStripes="0"/>
</table>
</file>

<file path=xl/tables/table1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D9DECA94-A166-4EF2-8241-1A2D65D284EA}" name="S_TABLE_40349" displayName="S_TABLE_40349" ref="B46:I72" totalsRowShown="0">
  <autoFilter ref="B46:I72" xr:uid="{D9DECA94-A166-4EF2-8241-1A2D65D284EA}"/>
  <tableColumns count="8">
    <tableColumn id="9" xr3:uid="{0ECCBCAD-B758-480F-BC2E-ABE7942CEEA9}" name="産業小分類上位２０"/>
    <tableColumn id="10" xr3:uid="{BE75B7AD-C39C-4E83-A49D-F61FD21AE05B}" name="総数／事業所数" dataCellStyle="桁区切り"/>
    <tableColumn id="11" xr3:uid="{5A010468-15C3-4677-9978-657B464930D8}" name="総数／構成比" dataDxfId="338"/>
    <tableColumn id="12" xr3:uid="{A0EB6B32-8451-40E8-B7CC-5D76E96DF8BD}" name="個人／事業所数" dataCellStyle="桁区切り"/>
    <tableColumn id="13" xr3:uid="{2CCC3EF6-4F4E-4884-BC38-7367D768C4B5}" name="個人／構成比" dataDxfId="337"/>
    <tableColumn id="14" xr3:uid="{1F764747-0761-4EC2-9F26-07F619CC91F5}" name="法人／事業所数" dataCellStyle="桁区切り"/>
    <tableColumn id="15" xr3:uid="{A70E436A-8349-4B60-9FF3-20AF78D8FFCD}" name="法人／構成比" dataDxfId="336"/>
    <tableColumn id="16" xr3:uid="{903B5F3B-3D63-448F-AFB6-9AD9E963C39C}" name="法人以外の団体／事業所数" dataCellStyle="桁区切り"/>
  </tableColumns>
  <tableStyleInfo name="TableStyleMedium9" showFirstColumn="0" showLastColumn="0" showRowStripes="1" showColumnStripes="0"/>
</table>
</file>

<file path=xl/tables/table1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00EA65D7-2309-4C4F-A257-92FD2B457DA7}" name="LTBL_40381" displayName="LTBL_40381" ref="B4:I20" totalsRowCount="1">
  <autoFilter ref="B4:I19" xr:uid="{00EA65D7-2309-4C4F-A257-92FD2B457DA7}"/>
  <tableColumns count="8">
    <tableColumn id="9" xr3:uid="{69299F72-D6F5-43CE-9CED-A099AE043627}" name="産業大分類" totalsRowLabel="合計" totalsRowDxfId="335"/>
    <tableColumn id="10" xr3:uid="{5C3182BC-2F7F-4CBE-AEAA-58D3CC2E050C}" name="総数／事業所数" totalsRowFunction="custom" totalsRowDxfId="334" dataCellStyle="桁区切り" totalsRowCellStyle="桁区切り">
      <totalsRowFormula>SUM(LTBL_40381[総数／事業所数])</totalsRowFormula>
    </tableColumn>
    <tableColumn id="11" xr3:uid="{70A2A6A6-247C-42C7-96C6-E66B86230559}" name="総数／構成比" dataDxfId="333"/>
    <tableColumn id="12" xr3:uid="{443B5380-429B-459C-A024-A8230864075A}" name="個人／事業所数" totalsRowFunction="sum" totalsRowDxfId="332" dataCellStyle="桁区切り" totalsRowCellStyle="桁区切り"/>
    <tableColumn id="13" xr3:uid="{99421EAB-76A6-47B4-A07C-C7173C6D1FA3}" name="個人／構成比" dataDxfId="331"/>
    <tableColumn id="14" xr3:uid="{E4DDD1F2-77A0-4DFB-A7CB-FD30C8F3C324}" name="法人／事業所数" totalsRowFunction="sum" totalsRowDxfId="330" dataCellStyle="桁区切り" totalsRowCellStyle="桁区切り"/>
    <tableColumn id="15" xr3:uid="{1732DF4B-AFEA-4699-B055-54976B17677F}" name="法人／構成比" dataDxfId="329"/>
    <tableColumn id="16" xr3:uid="{59F1C8D4-10FF-4B4A-A0E7-3128C848B73A}" name="法人以外の団体／事業所数" totalsRowFunction="sum" totalsRowDxfId="328" dataCellStyle="桁区切り" totalsRowCellStyle="桁区切り"/>
  </tableColumns>
  <tableStyleInfo name="TableStyleMedium9" showFirstColumn="0" showLastColumn="0" showRowStripes="1" showColumnStripes="0"/>
</table>
</file>

<file path=xl/tables/table1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9772058A-42E7-412E-B76E-4D1D0D91D03B}" name="M_TABLE_40381" displayName="M_TABLE_40381" ref="B23:I48" totalsRowShown="0">
  <autoFilter ref="B23:I48" xr:uid="{9772058A-42E7-412E-B76E-4D1D0D91D03B}"/>
  <tableColumns count="8">
    <tableColumn id="9" xr3:uid="{EF47E3FF-AAFC-44B8-AE15-DED0ADAC6404}" name="産業中分類上位２０"/>
    <tableColumn id="10" xr3:uid="{A1558F7F-A071-49D2-BBA4-097EC7F1ACA1}" name="総数／事業所数" dataCellStyle="桁区切り"/>
    <tableColumn id="11" xr3:uid="{2D546244-AB89-4354-A551-C8F32C7E580A}" name="総数／構成比" dataDxfId="327"/>
    <tableColumn id="12" xr3:uid="{57BA02D3-3D49-4930-AA54-09602E839727}" name="個人／事業所数" dataCellStyle="桁区切り"/>
    <tableColumn id="13" xr3:uid="{17AAC5BC-B887-4BD0-BAEB-65FAAEF064FF}" name="個人／構成比" dataDxfId="326"/>
    <tableColumn id="14" xr3:uid="{92DFBD09-5C3A-4131-848F-7062BD7C1654}" name="法人／事業所数" dataCellStyle="桁区切り"/>
    <tableColumn id="15" xr3:uid="{C5E26D62-D753-420C-B6F8-1204E34C6E35}" name="法人／構成比" dataDxfId="325"/>
    <tableColumn id="16" xr3:uid="{E7B84EF1-F4BF-40CD-ACB4-DEEF8EF8F459}" name="法人以外の団体／事業所数" dataCellStyle="桁区切り"/>
  </tableColumns>
  <tableStyleInfo name="TableStyleMedium9" showFirstColumn="0" showLastColumn="0" showRowStripes="1" showColumnStripes="0"/>
</table>
</file>

<file path=xl/tables/table1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208AB07E-2B8E-4D13-AA4C-E18FD8F675F3}" name="S_TABLE_40381" displayName="S_TABLE_40381" ref="B51:I72" totalsRowShown="0">
  <autoFilter ref="B51:I72" xr:uid="{208AB07E-2B8E-4D13-AA4C-E18FD8F675F3}"/>
  <tableColumns count="8">
    <tableColumn id="9" xr3:uid="{D303D671-8784-4087-90FD-75B0A12716E9}" name="産業小分類上位２０"/>
    <tableColumn id="10" xr3:uid="{9590EE3B-FF19-43F9-9EAC-5860F2CDEDB2}" name="総数／事業所数" dataCellStyle="桁区切り"/>
    <tableColumn id="11" xr3:uid="{C0E0BA10-9A9E-449E-BA52-511E1E139E1B}" name="総数／構成比" dataDxfId="324"/>
    <tableColumn id="12" xr3:uid="{C85895B5-72A0-4486-B30C-DAC133177596}" name="個人／事業所数" dataCellStyle="桁区切り"/>
    <tableColumn id="13" xr3:uid="{BA921C74-E993-4CC6-A3CB-EAD33D618157}" name="個人／構成比" dataDxfId="323"/>
    <tableColumn id="14" xr3:uid="{7747138D-067D-4EA3-8473-03616AAF0405}" name="法人／事業所数" dataCellStyle="桁区切り"/>
    <tableColumn id="15" xr3:uid="{574160CF-D81F-4CC3-AA1C-C2598275319E}" name="法人／構成比" dataDxfId="322"/>
    <tableColumn id="16" xr3:uid="{33023A9D-8FF1-411C-B973-AE7071338388}" name="法人以外の団体／事業所数" dataCellStyle="桁区切り"/>
  </tableColumns>
  <tableStyleInfo name="TableStyleMedium9" showFirstColumn="0" showLastColumn="0" showRowStripes="1" showColumnStripes="0"/>
</table>
</file>

<file path=xl/tables/table1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A1933969-4957-45C6-AD3C-5D3866324EA5}" name="LTBL_40382" displayName="LTBL_40382" ref="B4:I20" totalsRowCount="1">
  <autoFilter ref="B4:I19" xr:uid="{A1933969-4957-45C6-AD3C-5D3866324EA5}"/>
  <tableColumns count="8">
    <tableColumn id="9" xr3:uid="{22D37D07-47BA-4A59-8D84-0E7BB9778F5E}" name="産業大分類" totalsRowLabel="合計" totalsRowDxfId="321"/>
    <tableColumn id="10" xr3:uid="{57A74CB9-96C6-4CC0-A96C-28C39C70DBEA}" name="総数／事業所数" totalsRowFunction="custom" totalsRowDxfId="320" dataCellStyle="桁区切り" totalsRowCellStyle="桁区切り">
      <totalsRowFormula>SUM(LTBL_40382[総数／事業所数])</totalsRowFormula>
    </tableColumn>
    <tableColumn id="11" xr3:uid="{E31457F1-E618-43F2-AA34-31E4BED6ABA8}" name="総数／構成比" dataDxfId="319"/>
    <tableColumn id="12" xr3:uid="{A74C6B98-0616-449E-AD06-950F2FBF1C74}" name="個人／事業所数" totalsRowFunction="sum" totalsRowDxfId="318" dataCellStyle="桁区切り" totalsRowCellStyle="桁区切り"/>
    <tableColumn id="13" xr3:uid="{EC300762-BE3C-4065-BF93-D9EDB90E5D64}" name="個人／構成比" dataDxfId="317"/>
    <tableColumn id="14" xr3:uid="{2AC93CA2-54F8-4C99-A9D8-0EEC67B59EB0}" name="法人／事業所数" totalsRowFunction="sum" totalsRowDxfId="316" dataCellStyle="桁区切り" totalsRowCellStyle="桁区切り"/>
    <tableColumn id="15" xr3:uid="{AC0B9A29-3686-486E-9832-F794ECF56383}" name="法人／構成比" dataDxfId="315"/>
    <tableColumn id="16" xr3:uid="{1A2C3D04-B425-4EB0-A002-95A135068348}" name="法人以外の団体／事業所数" totalsRowFunction="sum" totalsRowDxfId="314" dataCellStyle="桁区切り" totalsRowCellStyle="桁区切り"/>
  </tableColumns>
  <tableStyleInfo name="TableStyleMedium9" showFirstColumn="0" showLastColumn="0" showRowStripes="1" showColumnStripes="0"/>
</table>
</file>

<file path=xl/tables/table1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D2CF7B81-6380-4808-85EA-0E1342B66AC3}" name="M_TABLE_40382" displayName="M_TABLE_40382" ref="B23:I43" totalsRowShown="0">
  <autoFilter ref="B23:I43" xr:uid="{D2CF7B81-6380-4808-85EA-0E1342B66AC3}"/>
  <tableColumns count="8">
    <tableColumn id="9" xr3:uid="{9B300FFD-DEFC-4476-9ABD-4330EDCA5371}" name="産業中分類上位２０"/>
    <tableColumn id="10" xr3:uid="{C367F5A4-1B90-43A5-A206-9AF9A089D708}" name="総数／事業所数" dataCellStyle="桁区切り"/>
    <tableColumn id="11" xr3:uid="{C394D88A-89F9-453D-A8DB-01F1E82C70D0}" name="総数／構成比" dataDxfId="313"/>
    <tableColumn id="12" xr3:uid="{D17CDA1A-A176-43C2-B87D-E8866402A65B}" name="個人／事業所数" dataCellStyle="桁区切り"/>
    <tableColumn id="13" xr3:uid="{0ED29DA1-FB1D-4AC0-B355-BC501D6B6482}" name="個人／構成比" dataDxfId="312"/>
    <tableColumn id="14" xr3:uid="{038F86BB-4D13-4194-8EE8-97E8B8570D80}" name="法人／事業所数" dataCellStyle="桁区切り"/>
    <tableColumn id="15" xr3:uid="{EBE50E1B-E6B1-4303-8F21-8EADF37F40E8}" name="法人／構成比" dataDxfId="311"/>
    <tableColumn id="16" xr3:uid="{17C697E3-A558-44F1-8EA7-155AD9A1A63F}" name="法人以外の団体／事業所数" dataCellStyle="桁区切り"/>
  </tableColumns>
  <tableStyleInfo name="TableStyleMedium9" showFirstColumn="0" showLastColumn="0" showRowStripes="1" showColumnStripes="0"/>
</table>
</file>

<file path=xl/tables/table1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EFB3158A-BD2B-429E-8C44-FDC8001E8320}" name="S_TABLE_40382" displayName="S_TABLE_40382" ref="B46:I67" totalsRowShown="0">
  <autoFilter ref="B46:I67" xr:uid="{EFB3158A-BD2B-429E-8C44-FDC8001E8320}"/>
  <tableColumns count="8">
    <tableColumn id="9" xr3:uid="{40F70394-BEC1-4F48-9432-E4FCF4FF2884}" name="産業小分類上位２０"/>
    <tableColumn id="10" xr3:uid="{7A4BE02C-67D0-4AEB-8507-207B78C4A3A8}" name="総数／事業所数" dataCellStyle="桁区切り"/>
    <tableColumn id="11" xr3:uid="{1DF158FF-7F96-4CF9-9136-074206277997}" name="総数／構成比" dataDxfId="310"/>
    <tableColumn id="12" xr3:uid="{3A6BE27F-C53A-4687-838D-48536D007A48}" name="個人／事業所数" dataCellStyle="桁区切り"/>
    <tableColumn id="13" xr3:uid="{6C9B79AC-E3B4-46AD-A8FA-07844F546F06}" name="個人／構成比" dataDxfId="309"/>
    <tableColumn id="14" xr3:uid="{F69EFEE6-4671-4EF6-8850-8D5209A714A4}" name="法人／事業所数" dataCellStyle="桁区切り"/>
    <tableColumn id="15" xr3:uid="{081B670F-003E-4069-B72E-2319BA77A985}" name="法人／構成比" dataDxfId="308"/>
    <tableColumn id="16" xr3:uid="{B535A921-99FB-488B-B66C-B74EE960D015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7306FA88-BA01-4C84-89D5-F8BF7BBD2204}" name="LTBL_40106" displayName="LTBL_40106" ref="B4:I20" totalsRowCount="1">
  <autoFilter ref="B4:I19" xr:uid="{7306FA88-BA01-4C84-89D5-F8BF7BBD2204}"/>
  <tableColumns count="8">
    <tableColumn id="9" xr3:uid="{D44A744C-1BB9-4F9F-8927-2A988723D681}" name="産業大分類" totalsRowLabel="合計" totalsRowDxfId="979"/>
    <tableColumn id="10" xr3:uid="{AC1D7918-32A6-42D7-B4DC-5A3E3659E2F1}" name="総数／事業所数" totalsRowFunction="custom" totalsRowDxfId="978" dataCellStyle="桁区切り" totalsRowCellStyle="桁区切り">
      <totalsRowFormula>SUM(LTBL_40106[総数／事業所数])</totalsRowFormula>
    </tableColumn>
    <tableColumn id="11" xr3:uid="{245144C0-682D-464D-9A62-D4E5A074378B}" name="総数／構成比" dataDxfId="977"/>
    <tableColumn id="12" xr3:uid="{D1456AF8-ED80-4F4B-A739-D5CDAE5216F7}" name="個人／事業所数" totalsRowFunction="sum" totalsRowDxfId="976" dataCellStyle="桁区切り" totalsRowCellStyle="桁区切り"/>
    <tableColumn id="13" xr3:uid="{BF0B925B-C4AE-4EBB-9CEF-29BE14405914}" name="個人／構成比" dataDxfId="975"/>
    <tableColumn id="14" xr3:uid="{0CCAFDBA-A8AF-4F63-8125-7D795A8CAD00}" name="法人／事業所数" totalsRowFunction="sum" totalsRowDxfId="974" dataCellStyle="桁区切り" totalsRowCellStyle="桁区切り"/>
    <tableColumn id="15" xr3:uid="{7F66E63F-F233-46CA-BF6F-92208054E124}" name="法人／構成比" dataDxfId="973"/>
    <tableColumn id="16" xr3:uid="{EECE31AD-BE36-4121-B9A9-0CE510BED3BB}" name="法人以外の団体／事業所数" totalsRowFunction="sum" totalsRowDxfId="972" dataCellStyle="桁区切り" totalsRowCellStyle="桁区切り"/>
  </tableColumns>
  <tableStyleInfo name="TableStyleMedium9" showFirstColumn="0" showLastColumn="0" showRowStripes="1" showColumnStripes="0"/>
</table>
</file>

<file path=xl/tables/table1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33239CC1-8F5A-4962-9FD3-F4F839EE507D}" name="LTBL_40383" displayName="LTBL_40383" ref="B4:I20" totalsRowCount="1">
  <autoFilter ref="B4:I19" xr:uid="{33239CC1-8F5A-4962-9FD3-F4F839EE507D}"/>
  <tableColumns count="8">
    <tableColumn id="9" xr3:uid="{CBC2BFCC-5889-484F-99C7-1A5891362DE6}" name="産業大分類" totalsRowLabel="合計" totalsRowDxfId="307"/>
    <tableColumn id="10" xr3:uid="{13481207-242F-4E78-B40C-EC40865719FD}" name="総数／事業所数" totalsRowFunction="custom" totalsRowDxfId="306" dataCellStyle="桁区切り" totalsRowCellStyle="桁区切り">
      <totalsRowFormula>SUM(LTBL_40383[総数／事業所数])</totalsRowFormula>
    </tableColumn>
    <tableColumn id="11" xr3:uid="{1252AD18-427B-40A2-B8F1-F3B900842103}" name="総数／構成比" dataDxfId="305"/>
    <tableColumn id="12" xr3:uid="{A1F406BD-8557-4945-9F75-2445A71A11FA}" name="個人／事業所数" totalsRowFunction="sum" totalsRowDxfId="304" dataCellStyle="桁区切り" totalsRowCellStyle="桁区切り"/>
    <tableColumn id="13" xr3:uid="{4FAD61B7-8F73-46A0-84E7-727D606C2573}" name="個人／構成比" dataDxfId="303"/>
    <tableColumn id="14" xr3:uid="{9C3D1E33-E712-4E7E-B0C4-741DC98DFB21}" name="法人／事業所数" totalsRowFunction="sum" totalsRowDxfId="302" dataCellStyle="桁区切り" totalsRowCellStyle="桁区切り"/>
    <tableColumn id="15" xr3:uid="{695BD0AB-1FE2-4096-A705-65B9192504C8}" name="法人／構成比" dataDxfId="301"/>
    <tableColumn id="16" xr3:uid="{772E50D8-D903-462A-8DF6-C2617C10D981}" name="法人以外の団体／事業所数" totalsRowFunction="sum" totalsRowDxfId="300" dataCellStyle="桁区切り" totalsRowCellStyle="桁区切り"/>
  </tableColumns>
  <tableStyleInfo name="TableStyleMedium9" showFirstColumn="0" showLastColumn="0" showRowStripes="1" showColumnStripes="0"/>
</table>
</file>

<file path=xl/tables/table1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1" xr:uid="{1732287C-BB2F-4B86-8B2A-71439D78FB6E}" name="M_TABLE_40383" displayName="M_TABLE_40383" ref="B23:I44" totalsRowShown="0">
  <autoFilter ref="B23:I44" xr:uid="{1732287C-BB2F-4B86-8B2A-71439D78FB6E}"/>
  <tableColumns count="8">
    <tableColumn id="9" xr3:uid="{AAB2F851-E805-43F3-99C6-E68DF179FA19}" name="産業中分類上位２０"/>
    <tableColumn id="10" xr3:uid="{A135063C-6E12-4A84-A096-5DFFC3B7EE01}" name="総数／事業所数" dataCellStyle="桁区切り"/>
    <tableColumn id="11" xr3:uid="{34ED11F8-1D59-41D2-9350-FFDBA2CB5BFE}" name="総数／構成比" dataDxfId="299"/>
    <tableColumn id="12" xr3:uid="{3A8CB249-6850-4FBB-8EA0-5F42D422DAD6}" name="個人／事業所数" dataCellStyle="桁区切り"/>
    <tableColumn id="13" xr3:uid="{C1299F34-C62F-4476-9048-CCE7861F8804}" name="個人／構成比" dataDxfId="298"/>
    <tableColumn id="14" xr3:uid="{85D04E5F-C80E-47DA-A7D0-D6F622335A96}" name="法人／事業所数" dataCellStyle="桁区切り"/>
    <tableColumn id="15" xr3:uid="{1C6D13E6-57FE-4A26-821C-3D7FCCB108F6}" name="法人／構成比" dataDxfId="297"/>
    <tableColumn id="16" xr3:uid="{079FB386-D76B-493D-AFDA-424122B6520F}" name="法人以外の団体／事業所数" dataCellStyle="桁区切り"/>
  </tableColumns>
  <tableStyleInfo name="TableStyleMedium9" showFirstColumn="0" showLastColumn="0" showRowStripes="1" showColumnStripes="0"/>
</table>
</file>

<file path=xl/tables/table1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2" xr:uid="{E0BCCFBF-B376-48CC-AF52-93E47DBCB7A0}" name="S_TABLE_40383" displayName="S_TABLE_40383" ref="B47:I67" totalsRowShown="0">
  <autoFilter ref="B47:I67" xr:uid="{E0BCCFBF-B376-48CC-AF52-93E47DBCB7A0}"/>
  <tableColumns count="8">
    <tableColumn id="9" xr3:uid="{031056DE-FA08-4251-9EFB-EC58F96344B1}" name="産業小分類上位２０"/>
    <tableColumn id="10" xr3:uid="{5D1CB764-841C-454A-898D-293EF51A49EA}" name="総数／事業所数" dataCellStyle="桁区切り"/>
    <tableColumn id="11" xr3:uid="{D17FA0CB-8FD2-4773-BAD1-B9DC91E38D8C}" name="総数／構成比" dataDxfId="296"/>
    <tableColumn id="12" xr3:uid="{38C7C257-9A4A-4BC5-B464-8CCA08327278}" name="個人／事業所数" dataCellStyle="桁区切り"/>
    <tableColumn id="13" xr3:uid="{02AB6D2F-44A9-42B3-B4FA-5322D147243D}" name="個人／構成比" dataDxfId="295"/>
    <tableColumn id="14" xr3:uid="{28942B80-6C25-4DA9-BB97-BE4721099D41}" name="法人／事業所数" dataCellStyle="桁区切り"/>
    <tableColumn id="15" xr3:uid="{2F22D595-46F9-4D75-B03D-2DAEF466BF91}" name="法人／構成比" dataDxfId="294"/>
    <tableColumn id="16" xr3:uid="{54C92D68-C2CA-45D8-A224-35C3A2C3AA08}" name="法人以外の団体／事業所数" dataCellStyle="桁区切り"/>
  </tableColumns>
  <tableStyleInfo name="TableStyleMedium9" showFirstColumn="0" showLastColumn="0" showRowStripes="1" showColumnStripes="0"/>
</table>
</file>

<file path=xl/tables/table1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9F6D831D-51CD-4D2C-9CA0-086CD163542F}" name="LTBL_40384" displayName="LTBL_40384" ref="B4:I20" totalsRowCount="1">
  <autoFilter ref="B4:I19" xr:uid="{9F6D831D-51CD-4D2C-9CA0-086CD163542F}"/>
  <tableColumns count="8">
    <tableColumn id="9" xr3:uid="{CC6AEDD0-09CB-4E5D-B66F-E32FFFE1515F}" name="産業大分類" totalsRowLabel="合計" totalsRowDxfId="293"/>
    <tableColumn id="10" xr3:uid="{80B51A3D-8482-4425-AA84-AC36B2B13FFE}" name="総数／事業所数" totalsRowFunction="custom" totalsRowDxfId="292" dataCellStyle="桁区切り" totalsRowCellStyle="桁区切り">
      <totalsRowFormula>SUM(LTBL_40384[総数／事業所数])</totalsRowFormula>
    </tableColumn>
    <tableColumn id="11" xr3:uid="{3D781998-F539-4963-B939-A53A3F9EBE59}" name="総数／構成比" dataDxfId="291"/>
    <tableColumn id="12" xr3:uid="{78423016-965A-4222-BF45-A95F68AD5178}" name="個人／事業所数" totalsRowFunction="sum" totalsRowDxfId="290" dataCellStyle="桁区切り" totalsRowCellStyle="桁区切り"/>
    <tableColumn id="13" xr3:uid="{F971B9DC-01D5-433A-8FA3-D64F72730BF8}" name="個人／構成比" dataDxfId="289"/>
    <tableColumn id="14" xr3:uid="{774C206F-6A70-452D-ADE1-1B973B600BC7}" name="法人／事業所数" totalsRowFunction="sum" totalsRowDxfId="288" dataCellStyle="桁区切り" totalsRowCellStyle="桁区切り"/>
    <tableColumn id="15" xr3:uid="{83B9A57D-4276-4EE6-BA51-66F94F10B2E2}" name="法人／構成比" dataDxfId="287"/>
    <tableColumn id="16" xr3:uid="{AB0EAE24-BEEE-4E30-86E3-69381580B07E}" name="法人以外の団体／事業所数" totalsRowFunction="sum" totalsRowDxfId="286" dataCellStyle="桁区切り" totalsRowCellStyle="桁区切り"/>
  </tableColumns>
  <tableStyleInfo name="TableStyleMedium9" showFirstColumn="0" showLastColumn="0" showRowStripes="1" showColumnStripes="0"/>
</table>
</file>

<file path=xl/tables/table1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4" xr:uid="{9BDFA9FD-827B-45F3-AC77-8F86FF9A881E}" name="M_TABLE_40384" displayName="M_TABLE_40384" ref="B23:I44" totalsRowShown="0">
  <autoFilter ref="B23:I44" xr:uid="{9BDFA9FD-827B-45F3-AC77-8F86FF9A881E}"/>
  <tableColumns count="8">
    <tableColumn id="9" xr3:uid="{959C1892-F3F4-45EE-B470-603AE1AB52D5}" name="産業中分類上位２０"/>
    <tableColumn id="10" xr3:uid="{07B4E1F7-FD9C-41FD-8371-5C4855E3BDA0}" name="総数／事業所数" dataCellStyle="桁区切り"/>
    <tableColumn id="11" xr3:uid="{10BE36AC-5F4B-42E7-B84E-509B6D1CA893}" name="総数／構成比" dataDxfId="285"/>
    <tableColumn id="12" xr3:uid="{426C9A81-8746-4DD4-9A55-62F0B10AFFCF}" name="個人／事業所数" dataCellStyle="桁区切り"/>
    <tableColumn id="13" xr3:uid="{31A43C5E-96A5-4754-B13E-123BC4E9362E}" name="個人／構成比" dataDxfId="284"/>
    <tableColumn id="14" xr3:uid="{630888DB-05FA-4BB9-9BC3-CAD46BC965A3}" name="法人／事業所数" dataCellStyle="桁区切り"/>
    <tableColumn id="15" xr3:uid="{027E0816-CA92-4732-B976-767E518A8754}" name="法人／構成比" dataDxfId="283"/>
    <tableColumn id="16" xr3:uid="{57070678-5FAB-46F6-8910-D9C442E38EB1}" name="法人以外の団体／事業所数" dataCellStyle="桁区切り"/>
  </tableColumns>
  <tableStyleInfo name="TableStyleMedium9" showFirstColumn="0" showLastColumn="0" showRowStripes="1" showColumnStripes="0"/>
</table>
</file>

<file path=xl/tables/table1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5" xr:uid="{4F09EED5-D6BE-43A0-857F-D1321B02662D}" name="S_TABLE_40384" displayName="S_TABLE_40384" ref="B47:I67" totalsRowShown="0">
  <autoFilter ref="B47:I67" xr:uid="{4F09EED5-D6BE-43A0-857F-D1321B02662D}"/>
  <tableColumns count="8">
    <tableColumn id="9" xr3:uid="{DB7EEF04-D9BB-4CC4-B935-EE838790A801}" name="産業小分類上位２０"/>
    <tableColumn id="10" xr3:uid="{5E248B9D-F2F7-435A-802D-A636F08D26C1}" name="総数／事業所数" dataCellStyle="桁区切り"/>
    <tableColumn id="11" xr3:uid="{507504AD-9C8C-4325-A21A-3C2303315F20}" name="総数／構成比" dataDxfId="282"/>
    <tableColumn id="12" xr3:uid="{148734B8-8758-4E01-AE65-14ED1D4A731A}" name="個人／事業所数" dataCellStyle="桁区切り"/>
    <tableColumn id="13" xr3:uid="{8EE12C63-DDAF-4038-B0B3-98D40B7727B9}" name="個人／構成比" dataDxfId="281"/>
    <tableColumn id="14" xr3:uid="{A9F6DE9A-FE0C-49AA-A991-6923442F6570}" name="法人／事業所数" dataCellStyle="桁区切り"/>
    <tableColumn id="15" xr3:uid="{D1C006AA-8129-441A-9E13-3B78FBE3B012}" name="法人／構成比" dataDxfId="280"/>
    <tableColumn id="16" xr3:uid="{38C6C179-5CB2-4A11-B301-42D6E1BB3F2B}" name="法人以外の団体／事業所数" dataCellStyle="桁区切り"/>
  </tableColumns>
  <tableStyleInfo name="TableStyleMedium9" showFirstColumn="0" showLastColumn="0" showRowStripes="1" showColumnStripes="0"/>
</table>
</file>

<file path=xl/tables/table1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6" xr:uid="{5D0885C3-D1D0-4F08-88D6-A58AD4DC7A23}" name="LTBL_40401" displayName="LTBL_40401" ref="B4:I20" totalsRowCount="1">
  <autoFilter ref="B4:I19" xr:uid="{5D0885C3-D1D0-4F08-88D6-A58AD4DC7A23}"/>
  <tableColumns count="8">
    <tableColumn id="9" xr3:uid="{F59839C3-EABA-4613-A1F0-61AF064E4E2F}" name="産業大分類" totalsRowLabel="合計" totalsRowDxfId="279"/>
    <tableColumn id="10" xr3:uid="{0F73808F-42B4-4F54-BEB1-44A95B862706}" name="総数／事業所数" totalsRowFunction="custom" totalsRowDxfId="278" dataCellStyle="桁区切り" totalsRowCellStyle="桁区切り">
      <totalsRowFormula>SUM(LTBL_40401[総数／事業所数])</totalsRowFormula>
    </tableColumn>
    <tableColumn id="11" xr3:uid="{384146F2-27C6-4DAE-9F00-35708C59C895}" name="総数／構成比" dataDxfId="277"/>
    <tableColumn id="12" xr3:uid="{8BB57C58-5182-4DA3-9A68-DF7CD78B8642}" name="個人／事業所数" totalsRowFunction="sum" totalsRowDxfId="276" dataCellStyle="桁区切り" totalsRowCellStyle="桁区切り"/>
    <tableColumn id="13" xr3:uid="{E295B8FC-7D41-4EB4-A411-848314B60DF4}" name="個人／構成比" dataDxfId="275"/>
    <tableColumn id="14" xr3:uid="{3EC5CF46-27BC-47FA-BC80-E9AA20C701AF}" name="法人／事業所数" totalsRowFunction="sum" totalsRowDxfId="274" dataCellStyle="桁区切り" totalsRowCellStyle="桁区切り"/>
    <tableColumn id="15" xr3:uid="{321BE341-C32F-4B51-9FF1-8C82485DC8D9}" name="法人／構成比" dataDxfId="273"/>
    <tableColumn id="16" xr3:uid="{57AF2DC6-D586-430F-B2B2-BD915CCE20BB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1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7" xr:uid="{2B429F4D-7AD4-45FE-80A9-F0646A849D41}" name="M_TABLE_40401" displayName="M_TABLE_40401" ref="B23:I48" totalsRowShown="0">
  <autoFilter ref="B23:I48" xr:uid="{2B429F4D-7AD4-45FE-80A9-F0646A849D41}"/>
  <tableColumns count="8">
    <tableColumn id="9" xr3:uid="{9E72084E-8168-45EB-B1F5-B1CD8F114A61}" name="産業中分類上位２０"/>
    <tableColumn id="10" xr3:uid="{1B0DD5AB-3543-4EA4-90B5-1559BC511601}" name="総数／事業所数" dataCellStyle="桁区切り"/>
    <tableColumn id="11" xr3:uid="{F9C04CA2-2AA8-4CD5-8CDF-F3ECDD481D59}" name="総数／構成比" dataDxfId="271"/>
    <tableColumn id="12" xr3:uid="{3F25E087-77CD-4E61-B3D6-741A375A6B70}" name="個人／事業所数" dataCellStyle="桁区切り"/>
    <tableColumn id="13" xr3:uid="{07765D39-5620-40F7-BBE5-F3A9E7E90F24}" name="個人／構成比" dataDxfId="270"/>
    <tableColumn id="14" xr3:uid="{83BAFCA1-A74D-405D-BA1F-609490EDCEB2}" name="法人／事業所数" dataCellStyle="桁区切り"/>
    <tableColumn id="15" xr3:uid="{D8998DB9-36AB-479F-B7DA-390B7520C28C}" name="法人／構成比" dataDxfId="269"/>
    <tableColumn id="16" xr3:uid="{ECD4374B-A7FE-40FA-B8AF-07243A00403D}" name="法人以外の団体／事業所数" dataCellStyle="桁区切り"/>
  </tableColumns>
  <tableStyleInfo name="TableStyleMedium9" showFirstColumn="0" showLastColumn="0" showRowStripes="1" showColumnStripes="0"/>
</table>
</file>

<file path=xl/tables/table1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8" xr:uid="{B3F57920-B7DE-49CA-95A0-88028E77566A}" name="S_TABLE_40401" displayName="S_TABLE_40401" ref="B51:I77" totalsRowShown="0">
  <autoFilter ref="B51:I77" xr:uid="{B3F57920-B7DE-49CA-95A0-88028E77566A}"/>
  <tableColumns count="8">
    <tableColumn id="9" xr3:uid="{4F86F01B-617B-4D3E-AD21-BA095E57EACB}" name="産業小分類上位２０"/>
    <tableColumn id="10" xr3:uid="{29F78824-D16D-476E-9478-66EFEFA8D4C8}" name="総数／事業所数" dataCellStyle="桁区切り"/>
    <tableColumn id="11" xr3:uid="{F59827C9-1ADE-499E-B4C4-784D031BAA45}" name="総数／構成比" dataDxfId="268"/>
    <tableColumn id="12" xr3:uid="{F8BA5070-5ED9-4A73-A376-438E14C78655}" name="個人／事業所数" dataCellStyle="桁区切り"/>
    <tableColumn id="13" xr3:uid="{BD10BB0E-4E2D-4C6D-99E8-F2F633A716DD}" name="個人／構成比" dataDxfId="267"/>
    <tableColumn id="14" xr3:uid="{DB1CB57A-2E3F-44AC-8710-6A9B1241DFE0}" name="法人／事業所数" dataCellStyle="桁区切り"/>
    <tableColumn id="15" xr3:uid="{34BE6398-F260-444E-8CF1-CC430E91BB69}" name="法人／構成比" dataDxfId="266"/>
    <tableColumn id="16" xr3:uid="{64FFC228-41C2-450C-A643-411C1A8A484D}" name="法人以外の団体／事業所数" dataCellStyle="桁区切り"/>
  </tableColumns>
  <tableStyleInfo name="TableStyleMedium9" showFirstColumn="0" showLastColumn="0" showRowStripes="1" showColumnStripes="0"/>
</table>
</file>

<file path=xl/tables/table1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9" xr:uid="{1675FF9D-C9AE-4903-ABAC-62FD09642E19}" name="LTBL_40402" displayName="LTBL_40402" ref="B4:I20" totalsRowCount="1">
  <autoFilter ref="B4:I19" xr:uid="{1675FF9D-C9AE-4903-ABAC-62FD09642E19}"/>
  <tableColumns count="8">
    <tableColumn id="9" xr3:uid="{31624686-E912-4D8F-8115-B38D791E009D}" name="産業大分類" totalsRowLabel="合計" totalsRowDxfId="265"/>
    <tableColumn id="10" xr3:uid="{E7A60907-FB1F-4959-8A48-4B2C74C9E812}" name="総数／事業所数" totalsRowFunction="custom" totalsRowDxfId="264" dataCellStyle="桁区切り" totalsRowCellStyle="桁区切り">
      <totalsRowFormula>SUM(LTBL_40402[総数／事業所数])</totalsRowFormula>
    </tableColumn>
    <tableColumn id="11" xr3:uid="{6067F5C2-F8AF-44FA-B9C1-72FDA7F38CCE}" name="総数／構成比" dataDxfId="263"/>
    <tableColumn id="12" xr3:uid="{1B006B5B-2B7D-4DFC-A038-2D64B8FEEBE9}" name="個人／事業所数" totalsRowFunction="sum" totalsRowDxfId="262" dataCellStyle="桁区切り" totalsRowCellStyle="桁区切り"/>
    <tableColumn id="13" xr3:uid="{F17FE8A7-7F91-4153-A0EB-1B56780159D2}" name="個人／構成比" dataDxfId="261"/>
    <tableColumn id="14" xr3:uid="{50E04923-2B3C-47EF-B1FC-C9D4A165E7E5}" name="法人／事業所数" totalsRowFunction="sum" totalsRowDxfId="260" dataCellStyle="桁区切り" totalsRowCellStyle="桁区切り"/>
    <tableColumn id="15" xr3:uid="{1ACAF16B-5002-40F9-9C53-1FD508E33765}" name="法人／構成比" dataDxfId="259"/>
    <tableColumn id="16" xr3:uid="{7C1951B3-FEB0-429F-BC88-5453EB560641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37C9CB52-8397-4871-926D-4E7FA84A8B09}" name="M_TABLE_40106" displayName="M_TABLE_40106" ref="B23:I43" totalsRowShown="0">
  <autoFilter ref="B23:I43" xr:uid="{37C9CB52-8397-4871-926D-4E7FA84A8B09}"/>
  <tableColumns count="8">
    <tableColumn id="9" xr3:uid="{0E3FCC8B-2E8E-4D7F-A7AE-2BD60A01C393}" name="産業中分類上位２０"/>
    <tableColumn id="10" xr3:uid="{2B5E0C83-74A2-48FF-A389-A7C0500DF2C6}" name="総数／事業所数" dataCellStyle="桁区切り"/>
    <tableColumn id="11" xr3:uid="{5F94B32D-557D-4F14-ACF9-293CD3E79CF5}" name="総数／構成比" dataDxfId="971"/>
    <tableColumn id="12" xr3:uid="{B4306D2B-FD2A-48DE-B463-ED8371F74C3B}" name="個人／事業所数" dataCellStyle="桁区切り"/>
    <tableColumn id="13" xr3:uid="{E90A1F0A-655F-4D9E-A33C-1F715C78D0EB}" name="個人／構成比" dataDxfId="970"/>
    <tableColumn id="14" xr3:uid="{825CED78-C821-464C-AC0C-7107C2148011}" name="法人／事業所数" dataCellStyle="桁区切り"/>
    <tableColumn id="15" xr3:uid="{F6E4B8CA-ECF7-4CF8-B027-9D4BF26E48D5}" name="法人／構成比" dataDxfId="969"/>
    <tableColumn id="16" xr3:uid="{2C44073B-2949-49A5-94B6-07A767C2FD4F}" name="法人以外の団体／事業所数" dataCellStyle="桁区切り"/>
  </tableColumns>
  <tableStyleInfo name="TableStyleMedium9" showFirstColumn="0" showLastColumn="0" showRowStripes="1" showColumnStripes="0"/>
</table>
</file>

<file path=xl/tables/table1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0" xr:uid="{6CCD2FC3-8836-4810-BAC0-549EDC605669}" name="M_TABLE_40402" displayName="M_TABLE_40402" ref="B23:I49" totalsRowShown="0">
  <autoFilter ref="B23:I49" xr:uid="{6CCD2FC3-8836-4810-BAC0-549EDC605669}"/>
  <tableColumns count="8">
    <tableColumn id="9" xr3:uid="{2280D3E8-1D9F-4F59-B143-49DC72DCF2A0}" name="産業中分類上位２０"/>
    <tableColumn id="10" xr3:uid="{D92816FB-34E7-4238-9607-384E2706D85E}" name="総数／事業所数" dataCellStyle="桁区切り"/>
    <tableColumn id="11" xr3:uid="{5C14DD75-1675-4234-9C6F-33C7E7693589}" name="総数／構成比" dataDxfId="257"/>
    <tableColumn id="12" xr3:uid="{C3BE6E16-7A37-47E1-B759-495F93F2E7E1}" name="個人／事業所数" dataCellStyle="桁区切り"/>
    <tableColumn id="13" xr3:uid="{1BC41DAF-2E50-4C40-A01D-D0D6D8730B4B}" name="個人／構成比" dataDxfId="256"/>
    <tableColumn id="14" xr3:uid="{531C341E-DB04-4293-92E1-D1541C0937B0}" name="法人／事業所数" dataCellStyle="桁区切り"/>
    <tableColumn id="15" xr3:uid="{7E9E0125-6AEF-459D-8EDF-7CAF06287917}" name="法人／構成比" dataDxfId="255"/>
    <tableColumn id="16" xr3:uid="{484136C4-26D3-483B-B1A0-961A182D5BD4}" name="法人以外の団体／事業所数" dataCellStyle="桁区切り"/>
  </tableColumns>
  <tableStyleInfo name="TableStyleMedium9" showFirstColumn="0" showLastColumn="0" showRowStripes="1" showColumnStripes="0"/>
</table>
</file>

<file path=xl/tables/table1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1" xr:uid="{59525341-A111-4018-A54E-EA9E87D5EC56}" name="S_TABLE_40402" displayName="S_TABLE_40402" ref="B52:I73" totalsRowShown="0">
  <autoFilter ref="B52:I73" xr:uid="{59525341-A111-4018-A54E-EA9E87D5EC56}"/>
  <tableColumns count="8">
    <tableColumn id="9" xr3:uid="{896CEAE5-F061-4AC7-9164-19FEEB7AD0BC}" name="産業小分類上位２０"/>
    <tableColumn id="10" xr3:uid="{22F6C52A-713B-443C-8135-E23EFCCAE34B}" name="総数／事業所数" dataCellStyle="桁区切り"/>
    <tableColumn id="11" xr3:uid="{206C6543-BADC-42D9-BB19-E189B228D3FC}" name="総数／構成比" dataDxfId="254"/>
    <tableColumn id="12" xr3:uid="{1FEC7591-1ECE-4C8D-B3E4-7B7E5A68F6F4}" name="個人／事業所数" dataCellStyle="桁区切り"/>
    <tableColumn id="13" xr3:uid="{FED31A5B-BB81-47CD-B33A-A9ADEB36E92F}" name="個人／構成比" dataDxfId="253"/>
    <tableColumn id="14" xr3:uid="{57A770C2-8CD2-4FBB-A6EF-5947D28E08F6}" name="法人／事業所数" dataCellStyle="桁区切り"/>
    <tableColumn id="15" xr3:uid="{AB95BD44-3A74-4F46-AB03-EAF2601082A2}" name="法人／構成比" dataDxfId="252"/>
    <tableColumn id="16" xr3:uid="{1C2AA9FD-9C8B-40AD-89ED-2DC6DBE0AE07}" name="法人以外の団体／事業所数" dataCellStyle="桁区切り"/>
  </tableColumns>
  <tableStyleInfo name="TableStyleMedium9" showFirstColumn="0" showLastColumn="0" showRowStripes="1" showColumnStripes="0"/>
</table>
</file>

<file path=xl/tables/table1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2" xr:uid="{8CB26C7E-B5AF-4059-B521-6DABEC5716C2}" name="LTBL_40421" displayName="LTBL_40421" ref="B4:I20" totalsRowCount="1">
  <autoFilter ref="B4:I19" xr:uid="{8CB26C7E-B5AF-4059-B521-6DABEC5716C2}"/>
  <tableColumns count="8">
    <tableColumn id="9" xr3:uid="{39B3FEA8-3F3A-4F08-967B-422CE71139D6}" name="産業大分類" totalsRowLabel="合計" totalsRowDxfId="251"/>
    <tableColumn id="10" xr3:uid="{C3495F48-6F13-4FC5-8980-4808375A00CC}" name="総数／事業所数" totalsRowFunction="custom" totalsRowDxfId="250" dataCellStyle="桁区切り" totalsRowCellStyle="桁区切り">
      <totalsRowFormula>SUM(LTBL_40421[総数／事業所数])</totalsRowFormula>
    </tableColumn>
    <tableColumn id="11" xr3:uid="{97757423-23B4-4A4B-AA7E-C404DB8B6831}" name="総数／構成比" dataDxfId="249"/>
    <tableColumn id="12" xr3:uid="{D0B294DD-8609-4D27-BA0E-FE4766C2C769}" name="個人／事業所数" totalsRowFunction="sum" totalsRowDxfId="248" dataCellStyle="桁区切り" totalsRowCellStyle="桁区切り"/>
    <tableColumn id="13" xr3:uid="{3A597736-3310-4689-967D-A71730939286}" name="個人／構成比" dataDxfId="247"/>
    <tableColumn id="14" xr3:uid="{B4669C82-3283-45BD-895C-D42A0AC3B904}" name="法人／事業所数" totalsRowFunction="sum" totalsRowDxfId="246" dataCellStyle="桁区切り" totalsRowCellStyle="桁区切り"/>
    <tableColumn id="15" xr3:uid="{764F947C-D732-459E-BF16-F021238E73A0}" name="法人／構成比" dataDxfId="245"/>
    <tableColumn id="16" xr3:uid="{79248CAE-609B-4BBA-BCFB-24EC55A8DE4D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1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3" xr:uid="{2570180B-E09D-4DAF-AEFC-BF6011058322}" name="M_TABLE_40421" displayName="M_TABLE_40421" ref="B23:I51" totalsRowShown="0">
  <autoFilter ref="B23:I51" xr:uid="{2570180B-E09D-4DAF-AEFC-BF6011058322}"/>
  <tableColumns count="8">
    <tableColumn id="9" xr3:uid="{6ADA38B1-0856-4A91-B141-D80D2E6FAD6F}" name="産業中分類上位２０"/>
    <tableColumn id="10" xr3:uid="{F574BC45-321E-46ED-8490-44D50A500285}" name="総数／事業所数" dataCellStyle="桁区切り"/>
    <tableColumn id="11" xr3:uid="{0E658FD0-CDB8-4548-91F2-BC39673F8B92}" name="総数／構成比" dataDxfId="243"/>
    <tableColumn id="12" xr3:uid="{EC4C4347-CF44-4D8A-A1C1-3E20657DE61F}" name="個人／事業所数" dataCellStyle="桁区切り"/>
    <tableColumn id="13" xr3:uid="{A013B19F-BDB9-4F7E-AA71-BD6095CCF0C6}" name="個人／構成比" dataDxfId="242"/>
    <tableColumn id="14" xr3:uid="{9AC333D4-5F5C-4D4B-B443-ABF44F720094}" name="法人／事業所数" dataCellStyle="桁区切り"/>
    <tableColumn id="15" xr3:uid="{4895A130-3322-470F-BC56-F48A2DC95BD7}" name="法人／構成比" dataDxfId="241"/>
    <tableColumn id="16" xr3:uid="{2A98F95B-1A9E-4052-A6B1-70C6FAAAA861}" name="法人以外の団体／事業所数" dataCellStyle="桁区切り"/>
  </tableColumns>
  <tableStyleInfo name="TableStyleMedium9" showFirstColumn="0" showLastColumn="0" showRowStripes="1" showColumnStripes="0"/>
</table>
</file>

<file path=xl/tables/table1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4" xr:uid="{A44878A7-4EDD-4762-84C4-3212ED5B7359}" name="S_TABLE_40421" displayName="S_TABLE_40421" ref="B54:I79" totalsRowShown="0">
  <autoFilter ref="B54:I79" xr:uid="{A44878A7-4EDD-4762-84C4-3212ED5B7359}"/>
  <tableColumns count="8">
    <tableColumn id="9" xr3:uid="{55DF4DED-FEE4-4431-8191-DEF8C5E9FD4C}" name="産業小分類上位２０"/>
    <tableColumn id="10" xr3:uid="{22A2DFB6-A7EF-4ACA-A95E-192E1A570AAF}" name="総数／事業所数" dataCellStyle="桁区切り"/>
    <tableColumn id="11" xr3:uid="{9A642F35-36BB-4D58-BE55-BAA5188284FE}" name="総数／構成比" dataDxfId="240"/>
    <tableColumn id="12" xr3:uid="{0DA2DD2E-A915-47C5-AF9C-32D20EC87EA3}" name="個人／事業所数" dataCellStyle="桁区切り"/>
    <tableColumn id="13" xr3:uid="{035340A0-0F99-4CBB-A470-671CCAADDE12}" name="個人／構成比" dataDxfId="239"/>
    <tableColumn id="14" xr3:uid="{F30829A9-07B9-4C6D-94E1-DD381FC9B0DE}" name="法人／事業所数" dataCellStyle="桁区切り"/>
    <tableColumn id="15" xr3:uid="{3083D66E-7650-4695-9730-E03310EEC5FF}" name="法人／構成比" dataDxfId="238"/>
    <tableColumn id="16" xr3:uid="{D1D24518-23E3-4444-9C5A-38345149EBA0}" name="法人以外の団体／事業所数" dataCellStyle="桁区切り"/>
  </tableColumns>
  <tableStyleInfo name="TableStyleMedium9" showFirstColumn="0" showLastColumn="0" showRowStripes="1" showColumnStripes="0"/>
</table>
</file>

<file path=xl/tables/table1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5" xr:uid="{F3F5B1D8-F5B9-4EAE-B0CF-79A4E56B7090}" name="LTBL_40447" displayName="LTBL_40447" ref="B4:I20" totalsRowCount="1">
  <autoFilter ref="B4:I19" xr:uid="{F3F5B1D8-F5B9-4EAE-B0CF-79A4E56B7090}"/>
  <tableColumns count="8">
    <tableColumn id="9" xr3:uid="{82862D7C-715D-4E2E-A6BE-ED2EEC42AB3B}" name="産業大分類" totalsRowLabel="合計" totalsRowDxfId="237"/>
    <tableColumn id="10" xr3:uid="{687AE7A5-88BD-407D-8472-3F31EA5C632E}" name="総数／事業所数" totalsRowFunction="custom" totalsRowDxfId="236" dataCellStyle="桁区切り" totalsRowCellStyle="桁区切り">
      <totalsRowFormula>SUM(LTBL_40447[総数／事業所数])</totalsRowFormula>
    </tableColumn>
    <tableColumn id="11" xr3:uid="{38ADE06D-FD3C-463B-860E-42946D3000C9}" name="総数／構成比" dataDxfId="235"/>
    <tableColumn id="12" xr3:uid="{8B357DDF-4DCC-4A1C-BC94-A08645E8C7F0}" name="個人／事業所数" totalsRowFunction="sum" totalsRowDxfId="234" dataCellStyle="桁区切り" totalsRowCellStyle="桁区切り"/>
    <tableColumn id="13" xr3:uid="{7E746869-5BF9-4854-807D-5358F39A8795}" name="個人／構成比" dataDxfId="233"/>
    <tableColumn id="14" xr3:uid="{684205BC-406B-4C4E-9015-95BBEBFB6073}" name="法人／事業所数" totalsRowFunction="sum" totalsRowDxfId="232" dataCellStyle="桁区切り" totalsRowCellStyle="桁区切り"/>
    <tableColumn id="15" xr3:uid="{1F0BDE71-653F-4F86-9AAC-711C021118E1}" name="法人／構成比" dataDxfId="231"/>
    <tableColumn id="16" xr3:uid="{A944108D-F5C8-44A0-8DB9-1A7EC9F23589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1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6" xr:uid="{077D529B-6CA1-44D4-84A1-0526063878C4}" name="M_TABLE_40447" displayName="M_TABLE_40447" ref="B23:I43" totalsRowShown="0">
  <autoFilter ref="B23:I43" xr:uid="{077D529B-6CA1-44D4-84A1-0526063878C4}"/>
  <tableColumns count="8">
    <tableColumn id="9" xr3:uid="{809E27F6-B736-42A0-8515-550DA0C55B3F}" name="産業中分類上位２０"/>
    <tableColumn id="10" xr3:uid="{BBBBC705-28FD-4DF1-9E40-D3CACB71179B}" name="総数／事業所数" dataCellStyle="桁区切り"/>
    <tableColumn id="11" xr3:uid="{D3F4B033-C97A-4638-9569-D0B89D4AB79B}" name="総数／構成比" dataDxfId="229"/>
    <tableColumn id="12" xr3:uid="{35A1C26C-1D00-4CA8-8E52-F27660E6E511}" name="個人／事業所数" dataCellStyle="桁区切り"/>
    <tableColumn id="13" xr3:uid="{9588AD91-3D52-4BFE-924F-E37EE369489F}" name="個人／構成比" dataDxfId="228"/>
    <tableColumn id="14" xr3:uid="{B5DCA7DE-A9C2-41E1-9EBF-02911E811D6B}" name="法人／事業所数" dataCellStyle="桁区切り"/>
    <tableColumn id="15" xr3:uid="{B22ADC16-8AA1-41C8-B1CF-6CF1104DB4D1}" name="法人／構成比" dataDxfId="227"/>
    <tableColumn id="16" xr3:uid="{B1E0E45B-9953-4DEC-9B9A-D6A051CD5B7B}" name="法人以外の団体／事業所数" dataCellStyle="桁区切り"/>
  </tableColumns>
  <tableStyleInfo name="TableStyleMedium9" showFirstColumn="0" showLastColumn="0" showRowStripes="1" showColumnStripes="0"/>
</table>
</file>

<file path=xl/tables/table1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7" xr:uid="{F5E7677E-2DF1-455B-B82D-8D115A472FC5}" name="S_TABLE_40447" displayName="S_TABLE_40447" ref="B46:I66" totalsRowShown="0">
  <autoFilter ref="B46:I66" xr:uid="{F5E7677E-2DF1-455B-B82D-8D115A472FC5}"/>
  <tableColumns count="8">
    <tableColumn id="9" xr3:uid="{B7D89655-8E03-46E4-B0A9-EF768AF24820}" name="産業小分類上位２０"/>
    <tableColumn id="10" xr3:uid="{1A7BB170-5B33-4821-B252-340FB0D60D51}" name="総数／事業所数" dataCellStyle="桁区切り"/>
    <tableColumn id="11" xr3:uid="{F190D0C3-EEA9-4FFB-B8B2-07E52244DA2C}" name="総数／構成比" dataDxfId="226"/>
    <tableColumn id="12" xr3:uid="{474CF6CE-DE03-460B-BB04-FF914C60FE32}" name="個人／事業所数" dataCellStyle="桁区切り"/>
    <tableColumn id="13" xr3:uid="{126F1647-038B-4D54-AC69-F6EA2AB2515B}" name="個人／構成比" dataDxfId="225"/>
    <tableColumn id="14" xr3:uid="{CA140E8B-AFEF-44AD-80FC-CF8440B9583D}" name="法人／事業所数" dataCellStyle="桁区切り"/>
    <tableColumn id="15" xr3:uid="{A3CEA40E-B650-4B9D-AC5F-36CF594CB1B4}" name="法人／構成比" dataDxfId="224"/>
    <tableColumn id="16" xr3:uid="{551D79D1-389C-4D95-832D-B48779B7222F}" name="法人以外の団体／事業所数" dataCellStyle="桁区切り"/>
  </tableColumns>
  <tableStyleInfo name="TableStyleMedium9" showFirstColumn="0" showLastColumn="0" showRowStripes="1" showColumnStripes="0"/>
</table>
</file>

<file path=xl/tables/table1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8" xr:uid="{90A99F15-B598-45EB-905C-76C8D821399C}" name="LTBL_40448" displayName="LTBL_40448" ref="B4:I20" totalsRowCount="1">
  <autoFilter ref="B4:I19" xr:uid="{90A99F15-B598-45EB-905C-76C8D821399C}"/>
  <tableColumns count="8">
    <tableColumn id="9" xr3:uid="{FE9C1D28-EC2E-404B-83EB-B1F25A146276}" name="産業大分類" totalsRowLabel="合計" totalsRowDxfId="223"/>
    <tableColumn id="10" xr3:uid="{C6669419-D3DF-4D8E-B512-EAC232A8DD56}" name="総数／事業所数" totalsRowFunction="custom" totalsRowDxfId="222" dataCellStyle="桁区切り" totalsRowCellStyle="桁区切り">
      <totalsRowFormula>SUM(LTBL_40448[総数／事業所数])</totalsRowFormula>
    </tableColumn>
    <tableColumn id="11" xr3:uid="{8A29AC0F-4104-4092-9619-C098276F0F63}" name="総数／構成比" dataDxfId="221"/>
    <tableColumn id="12" xr3:uid="{93FA59CD-59E5-44F8-84C9-C1FAE04E4970}" name="個人／事業所数" totalsRowFunction="sum" totalsRowDxfId="220" dataCellStyle="桁区切り" totalsRowCellStyle="桁区切り"/>
    <tableColumn id="13" xr3:uid="{86E34E32-2C05-47EA-9C88-A2B778D1E4D8}" name="個人／構成比" dataDxfId="219"/>
    <tableColumn id="14" xr3:uid="{0B3F543F-3DFB-4133-96C0-A4D17096FE26}" name="法人／事業所数" totalsRowFunction="sum" totalsRowDxfId="218" dataCellStyle="桁区切り" totalsRowCellStyle="桁区切り"/>
    <tableColumn id="15" xr3:uid="{9E209199-9C8B-402D-9725-6CAEE1053DF8}" name="法人／構成比" dataDxfId="217"/>
    <tableColumn id="16" xr3:uid="{FF180606-6102-45B3-8873-1FC9D1890505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1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9" xr:uid="{53C6F42D-7909-4A2C-A781-248438760FF2}" name="M_TABLE_40448" displayName="M_TABLE_40448" ref="B23:I47" totalsRowShown="0">
  <autoFilter ref="B23:I47" xr:uid="{53C6F42D-7909-4A2C-A781-248438760FF2}"/>
  <tableColumns count="8">
    <tableColumn id="9" xr3:uid="{5D7C01B3-F33B-4E86-90AE-4F45F6C86626}" name="産業中分類上位２０"/>
    <tableColumn id="10" xr3:uid="{A8B2D3E9-9319-481E-B478-81D8AE5DD374}" name="総数／事業所数" dataCellStyle="桁区切り"/>
    <tableColumn id="11" xr3:uid="{1212FB99-EF2D-47DF-A579-EE2D0ED0B167}" name="総数／構成比" dataDxfId="215"/>
    <tableColumn id="12" xr3:uid="{6BB0339B-7CA9-446C-9B71-A9C0C912BE68}" name="個人／事業所数" dataCellStyle="桁区切り"/>
    <tableColumn id="13" xr3:uid="{E1EBD222-7055-4A43-8713-5079C0A367A0}" name="個人／構成比" dataDxfId="214"/>
    <tableColumn id="14" xr3:uid="{56548B5F-9B03-48D4-8368-6AD7730BEB11}" name="法人／事業所数" dataCellStyle="桁区切り"/>
    <tableColumn id="15" xr3:uid="{924244C0-9325-4A7F-93AF-17E27FCEBC2E}" name="法人／構成比" dataDxfId="213"/>
    <tableColumn id="16" xr3:uid="{8D402777-1001-4D4E-B51B-1CE5641A0E70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4F599C4-2749-4689-9CCF-144D86D22789}" name="S_TABLE_40106" displayName="S_TABLE_40106" ref="B46:I67" totalsRowShown="0">
  <autoFilter ref="B46:I67" xr:uid="{24F599C4-2749-4689-9CCF-144D86D22789}"/>
  <tableColumns count="8">
    <tableColumn id="9" xr3:uid="{FC4B3660-7A8D-4466-8E57-CEC32741F40E}" name="産業小分類上位２０"/>
    <tableColumn id="10" xr3:uid="{32A0D570-15D1-45CE-815E-D37C9D28363A}" name="総数／事業所数" dataCellStyle="桁区切り"/>
    <tableColumn id="11" xr3:uid="{B5350804-3ECA-4E8F-91D6-7FD0F5B7AB24}" name="総数／構成比" dataDxfId="968"/>
    <tableColumn id="12" xr3:uid="{8381DF4C-4AEA-4D32-85A8-49FDAFAB5379}" name="個人／事業所数" dataCellStyle="桁区切り"/>
    <tableColumn id="13" xr3:uid="{8AA70D25-C4FC-4B8F-9576-1B60FD246432}" name="個人／構成比" dataDxfId="967"/>
    <tableColumn id="14" xr3:uid="{E442B911-8AE7-4087-9AE9-E5BFE66BC9B9}" name="法人／事業所数" dataCellStyle="桁区切り"/>
    <tableColumn id="15" xr3:uid="{8F7E91E6-1DEC-42FC-A099-97236B4917B8}" name="法人／構成比" dataDxfId="966"/>
    <tableColumn id="16" xr3:uid="{F30D39F1-D11D-47CC-A9A3-456E41FD2637}" name="法人以外の団体／事業所数" dataCellStyle="桁区切り"/>
  </tableColumns>
  <tableStyleInfo name="TableStyleMedium9" showFirstColumn="0" showLastColumn="0" showRowStripes="1" showColumnStripes="0"/>
</table>
</file>

<file path=xl/tables/table1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0" xr:uid="{82777817-395A-4206-A3AD-7FD97714886D}" name="S_TABLE_40448" displayName="S_TABLE_40448" ref="B50:I70" totalsRowShown="0">
  <autoFilter ref="B50:I70" xr:uid="{82777817-395A-4206-A3AD-7FD97714886D}"/>
  <tableColumns count="8">
    <tableColumn id="9" xr3:uid="{D2714C20-F774-42F7-B950-9A13BE4F38E2}" name="産業小分類上位２０"/>
    <tableColumn id="10" xr3:uid="{9FE38503-97EB-4EAC-944E-C1120199A68E}" name="総数／事業所数" dataCellStyle="桁区切り"/>
    <tableColumn id="11" xr3:uid="{8C1F71C8-4CBD-4E6C-9633-C72547CE61F9}" name="総数／構成比" dataDxfId="212"/>
    <tableColumn id="12" xr3:uid="{A89C0213-7524-4491-A126-C8406B1691EE}" name="個人／事業所数" dataCellStyle="桁区切り"/>
    <tableColumn id="13" xr3:uid="{57D9270D-80B4-499E-A8B4-3BAE5358AF68}" name="個人／構成比" dataDxfId="211"/>
    <tableColumn id="14" xr3:uid="{1CAC3785-8233-48F6-A5C3-8B6B76099E9B}" name="法人／事業所数" dataCellStyle="桁区切り"/>
    <tableColumn id="15" xr3:uid="{10C23635-5093-45E2-9D94-3FF5AAD63B08}" name="法人／構成比" dataDxfId="210"/>
    <tableColumn id="16" xr3:uid="{2BAE893A-2AA6-45FC-8257-E74AB8729CD7}" name="法人以外の団体／事業所数" dataCellStyle="桁区切り"/>
  </tableColumns>
  <tableStyleInfo name="TableStyleMedium9" showFirstColumn="0" showLastColumn="0" showRowStripes="1" showColumnStripes="0"/>
</table>
</file>

<file path=xl/tables/table1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1" xr:uid="{178B6230-85F2-4198-B218-AE15C4953BD2}" name="LTBL_40503" displayName="LTBL_40503" ref="B4:I20" totalsRowCount="1">
  <autoFilter ref="B4:I19" xr:uid="{178B6230-85F2-4198-B218-AE15C4953BD2}"/>
  <tableColumns count="8">
    <tableColumn id="9" xr3:uid="{14C49AB9-8A87-484E-B526-6564387749F2}" name="産業大分類" totalsRowLabel="合計" totalsRowDxfId="209"/>
    <tableColumn id="10" xr3:uid="{F0AAA1E3-E14B-4E11-A154-537F503B0EAC}" name="総数／事業所数" totalsRowFunction="custom" totalsRowDxfId="208" dataCellStyle="桁区切り" totalsRowCellStyle="桁区切り">
      <totalsRowFormula>SUM(LTBL_40503[総数／事業所数])</totalsRowFormula>
    </tableColumn>
    <tableColumn id="11" xr3:uid="{1F15BFDC-90D8-471B-96CB-5B29772C7AC1}" name="総数／構成比" dataDxfId="207"/>
    <tableColumn id="12" xr3:uid="{FB865659-369E-4025-8792-49F21A69E33E}" name="個人／事業所数" totalsRowFunction="sum" totalsRowDxfId="206" dataCellStyle="桁区切り" totalsRowCellStyle="桁区切り"/>
    <tableColumn id="13" xr3:uid="{75172CBB-B882-41EF-A20C-069F6F11003E}" name="個人／構成比" dataDxfId="205"/>
    <tableColumn id="14" xr3:uid="{1AA22560-563E-49C2-A77C-7ADB88516481}" name="法人／事業所数" totalsRowFunction="sum" totalsRowDxfId="204" dataCellStyle="桁区切り" totalsRowCellStyle="桁区切り"/>
    <tableColumn id="15" xr3:uid="{07EEBAA0-A24F-4EAE-83DE-DF05795943B1}" name="法人／構成比" dataDxfId="203"/>
    <tableColumn id="16" xr3:uid="{BA6B3BFA-007E-4E03-989D-C63BB6BF1F27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1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2" xr:uid="{2BF6F51F-512F-43BF-A4E2-3736C61F0589}" name="M_TABLE_40503" displayName="M_TABLE_40503" ref="B23:I44" totalsRowShown="0">
  <autoFilter ref="B23:I44" xr:uid="{2BF6F51F-512F-43BF-A4E2-3736C61F0589}"/>
  <tableColumns count="8">
    <tableColumn id="9" xr3:uid="{57970B0D-7123-4436-82AE-190A33F6061D}" name="産業中分類上位２０"/>
    <tableColumn id="10" xr3:uid="{E864636C-A369-4038-8F2C-1A311F88E2BB}" name="総数／事業所数" dataCellStyle="桁区切り"/>
    <tableColumn id="11" xr3:uid="{ACE440C4-E14D-47B7-9033-26DD151083B5}" name="総数／構成比" dataDxfId="201"/>
    <tableColumn id="12" xr3:uid="{5542A999-5CD6-4C0F-A778-95DB153C1122}" name="個人／事業所数" dataCellStyle="桁区切り"/>
    <tableColumn id="13" xr3:uid="{583BF85D-19F9-44AB-AAE3-678D864F2AC2}" name="個人／構成比" dataDxfId="200"/>
    <tableColumn id="14" xr3:uid="{619C4CC5-408E-41AE-BDC6-88D8FF81FE1C}" name="法人／事業所数" dataCellStyle="桁区切り"/>
    <tableColumn id="15" xr3:uid="{2E2D6B0B-94F1-4E83-BD95-31244C329D5C}" name="法人／構成比" dataDxfId="199"/>
    <tableColumn id="16" xr3:uid="{410E5F73-06E3-4C36-BDD7-F0D3CBD5A2F9}" name="法人以外の団体／事業所数" dataCellStyle="桁区切り"/>
  </tableColumns>
  <tableStyleInfo name="TableStyleMedium9" showFirstColumn="0" showLastColumn="0" showRowStripes="1" showColumnStripes="0"/>
</table>
</file>

<file path=xl/tables/table1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3" xr:uid="{975B7B68-D600-409F-9DA8-BB95519586BE}" name="S_TABLE_40503" displayName="S_TABLE_40503" ref="B47:I80" totalsRowShown="0">
  <autoFilter ref="B47:I80" xr:uid="{975B7B68-D600-409F-9DA8-BB95519586BE}"/>
  <tableColumns count="8">
    <tableColumn id="9" xr3:uid="{0E23FD49-2595-4CCA-A8DE-FACD410AD132}" name="産業小分類上位２０"/>
    <tableColumn id="10" xr3:uid="{909A35EB-C8F0-4CDA-8438-A2D01A6D2113}" name="総数／事業所数" dataCellStyle="桁区切り"/>
    <tableColumn id="11" xr3:uid="{A4AB6E93-32FD-4265-8609-41140B8ED666}" name="総数／構成比" dataDxfId="198"/>
    <tableColumn id="12" xr3:uid="{B24044A8-66F0-46FA-B45A-86AEFCD2453F}" name="個人／事業所数" dataCellStyle="桁区切り"/>
    <tableColumn id="13" xr3:uid="{11DF82FF-A496-45C0-99F1-E4F94894243F}" name="個人／構成比" dataDxfId="197"/>
    <tableColumn id="14" xr3:uid="{C30509B0-6059-440C-8412-4DC22014B00B}" name="法人／事業所数" dataCellStyle="桁区切り"/>
    <tableColumn id="15" xr3:uid="{786A5E0E-81AC-4BCE-A65F-DE7A7AD93D5F}" name="法人／構成比" dataDxfId="196"/>
    <tableColumn id="16" xr3:uid="{80C86F1C-CEB7-48AB-9310-9F03C71ECD67}" name="法人以外の団体／事業所数" dataCellStyle="桁区切り"/>
  </tableColumns>
  <tableStyleInfo name="TableStyleMedium9" showFirstColumn="0" showLastColumn="0" showRowStripes="1" showColumnStripes="0"/>
</table>
</file>

<file path=xl/tables/table1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4" xr:uid="{0B1F959E-B29B-4CF7-9781-B3A87E85B774}" name="LTBL_40522" displayName="LTBL_40522" ref="B4:I20" totalsRowCount="1">
  <autoFilter ref="B4:I19" xr:uid="{0B1F959E-B29B-4CF7-9781-B3A87E85B774}"/>
  <tableColumns count="8">
    <tableColumn id="9" xr3:uid="{CC01DD8B-E5DF-4D4D-ABE2-01A3C377C168}" name="産業大分類" totalsRowLabel="合計" totalsRowDxfId="195"/>
    <tableColumn id="10" xr3:uid="{29D52EEC-517B-493A-B553-6A740EA13E38}" name="総数／事業所数" totalsRowFunction="custom" totalsRowDxfId="194" dataCellStyle="桁区切り" totalsRowCellStyle="桁区切り">
      <totalsRowFormula>SUM(LTBL_40522[総数／事業所数])</totalsRowFormula>
    </tableColumn>
    <tableColumn id="11" xr3:uid="{9B7358C5-9607-4EFD-9EF6-C511E3866466}" name="総数／構成比" dataDxfId="193"/>
    <tableColumn id="12" xr3:uid="{A171640B-C134-4BFC-BD0D-474D4463C10E}" name="個人／事業所数" totalsRowFunction="sum" totalsRowDxfId="192" dataCellStyle="桁区切り" totalsRowCellStyle="桁区切り"/>
    <tableColumn id="13" xr3:uid="{9D11EB6A-C7B0-472E-9CE5-FDA5C52737A4}" name="個人／構成比" dataDxfId="191"/>
    <tableColumn id="14" xr3:uid="{D401B66C-DD1C-48B8-AB68-88C380420A54}" name="法人／事業所数" totalsRowFunction="sum" totalsRowDxfId="190" dataCellStyle="桁区切り" totalsRowCellStyle="桁区切り"/>
    <tableColumn id="15" xr3:uid="{A6C76D19-AD8C-4671-ADB8-7CCD2D734CA7}" name="法人／構成比" dataDxfId="189"/>
    <tableColumn id="16" xr3:uid="{AD4741CF-24B5-4436-858C-8C5E3DB9B021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1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5" xr:uid="{4169DEFE-F28A-44B3-9E65-6AC8DE7231C6}" name="M_TABLE_40522" displayName="M_TABLE_40522" ref="B23:I46" totalsRowShown="0">
  <autoFilter ref="B23:I46" xr:uid="{4169DEFE-F28A-44B3-9E65-6AC8DE7231C6}"/>
  <tableColumns count="8">
    <tableColumn id="9" xr3:uid="{D6B24E42-DB61-45B4-AE9D-75B865FE76C4}" name="産業中分類上位２０"/>
    <tableColumn id="10" xr3:uid="{150AE395-C366-4B60-B546-9133CEB50E67}" name="総数／事業所数" dataCellStyle="桁区切り"/>
    <tableColumn id="11" xr3:uid="{64257A30-5E47-41ED-8AB8-A2FC93F3C1F9}" name="総数／構成比" dataDxfId="187"/>
    <tableColumn id="12" xr3:uid="{88992A2C-6FCB-4F23-8456-405D015E21F8}" name="個人／事業所数" dataCellStyle="桁区切り"/>
    <tableColumn id="13" xr3:uid="{F816DF94-3BFE-422A-A696-9D8F11343A43}" name="個人／構成比" dataDxfId="186"/>
    <tableColumn id="14" xr3:uid="{74C883C9-4C30-46CF-94B7-D2C92918E587}" name="法人／事業所数" dataCellStyle="桁区切り"/>
    <tableColumn id="15" xr3:uid="{84A9CE67-052A-4200-8910-2FE82D0674FE}" name="法人／構成比" dataDxfId="185"/>
    <tableColumn id="16" xr3:uid="{FEF3D78E-D69F-4F46-9681-6BE422BC5605}" name="法人以外の団体／事業所数" dataCellStyle="桁区切り"/>
  </tableColumns>
  <tableStyleInfo name="TableStyleMedium9" showFirstColumn="0" showLastColumn="0" showRowStripes="1" showColumnStripes="0"/>
</table>
</file>

<file path=xl/tables/table1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6" xr:uid="{A73788BF-2EB1-4305-B4D5-D0890EB2D706}" name="S_TABLE_40522" displayName="S_TABLE_40522" ref="B49:I74" totalsRowShown="0">
  <autoFilter ref="B49:I74" xr:uid="{A73788BF-2EB1-4305-B4D5-D0890EB2D706}"/>
  <tableColumns count="8">
    <tableColumn id="9" xr3:uid="{A8282652-E064-401D-8005-89626EA7639C}" name="産業小分類上位２０"/>
    <tableColumn id="10" xr3:uid="{EEC10F42-82FC-4FA0-8F0C-A400744F894C}" name="総数／事業所数" dataCellStyle="桁区切り"/>
    <tableColumn id="11" xr3:uid="{005D5D52-9F84-478A-8C47-8A298EFB4199}" name="総数／構成比" dataDxfId="184"/>
    <tableColumn id="12" xr3:uid="{54933B90-16E6-4D32-86B0-7DCCA42E2E1A}" name="個人／事業所数" dataCellStyle="桁区切り"/>
    <tableColumn id="13" xr3:uid="{66EAE733-4C4B-4D7A-A983-691E6B48F333}" name="個人／構成比" dataDxfId="183"/>
    <tableColumn id="14" xr3:uid="{4720DD5D-CADB-4102-92C5-0F18B2361F44}" name="法人／事業所数" dataCellStyle="桁区切り"/>
    <tableColumn id="15" xr3:uid="{7E636EC4-5DA7-4E0C-8502-D82E4766DE9E}" name="法人／構成比" dataDxfId="182"/>
    <tableColumn id="16" xr3:uid="{76B6A1E5-27A9-471E-97AF-E32A909A4688}" name="法人以外の団体／事業所数" dataCellStyle="桁区切り"/>
  </tableColumns>
  <tableStyleInfo name="TableStyleMedium9" showFirstColumn="0" showLastColumn="0" showRowStripes="1" showColumnStripes="0"/>
</table>
</file>

<file path=xl/tables/table1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7" xr:uid="{955CF1BB-4C02-4892-9759-FE01F159B06E}" name="LTBL_40544" displayName="LTBL_40544" ref="B4:I20" totalsRowCount="1">
  <autoFilter ref="B4:I19" xr:uid="{955CF1BB-4C02-4892-9759-FE01F159B06E}"/>
  <tableColumns count="8">
    <tableColumn id="9" xr3:uid="{14712D56-F5EE-431C-990A-C0F5EB04E1A1}" name="産業大分類" totalsRowLabel="合計" totalsRowDxfId="181"/>
    <tableColumn id="10" xr3:uid="{5C473B33-355D-4BCF-98B5-FD2C028088B8}" name="総数／事業所数" totalsRowFunction="custom" totalsRowDxfId="180" dataCellStyle="桁区切り" totalsRowCellStyle="桁区切り">
      <totalsRowFormula>SUM(LTBL_40544[総数／事業所数])</totalsRowFormula>
    </tableColumn>
    <tableColumn id="11" xr3:uid="{FF44E882-C463-4045-8173-92944B6BDDD6}" name="総数／構成比" dataDxfId="179"/>
    <tableColumn id="12" xr3:uid="{CC2816D3-C29A-46AC-A0E0-BA1F79FCDB57}" name="個人／事業所数" totalsRowFunction="sum" totalsRowDxfId="178" dataCellStyle="桁区切り" totalsRowCellStyle="桁区切り"/>
    <tableColumn id="13" xr3:uid="{19984FF1-195B-4DCC-9A09-3062DCDAE69C}" name="個人／構成比" dataDxfId="177"/>
    <tableColumn id="14" xr3:uid="{8AB295E5-EAAB-4EEA-9F44-F7331E3BBC2F}" name="法人／事業所数" totalsRowFunction="sum" totalsRowDxfId="176" dataCellStyle="桁区切り" totalsRowCellStyle="桁区切り"/>
    <tableColumn id="15" xr3:uid="{2EA18722-DCA4-4B52-88A7-DD54CF736189}" name="法人／構成比" dataDxfId="175"/>
    <tableColumn id="16" xr3:uid="{875E3093-5589-48D4-AA1A-583F61E4A1D4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1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8" xr:uid="{D683C965-384D-4C2C-A334-CE40A05CAF39}" name="M_TABLE_40544" displayName="M_TABLE_40544" ref="B23:I46" totalsRowShown="0">
  <autoFilter ref="B23:I46" xr:uid="{D683C965-384D-4C2C-A334-CE40A05CAF39}"/>
  <tableColumns count="8">
    <tableColumn id="9" xr3:uid="{468FDCC5-A151-4025-9281-5043EC9FEFBB}" name="産業中分類上位２０"/>
    <tableColumn id="10" xr3:uid="{D68F7274-108B-4F5E-8AB8-41ED2E5A4CBD}" name="総数／事業所数" dataCellStyle="桁区切り"/>
    <tableColumn id="11" xr3:uid="{DCF3FEDE-EBCE-4361-8973-F6A9C1CB7AA7}" name="総数／構成比" dataDxfId="173"/>
    <tableColumn id="12" xr3:uid="{6EAEAAF8-1798-466A-A428-9FB27281E1AF}" name="個人／事業所数" dataCellStyle="桁区切り"/>
    <tableColumn id="13" xr3:uid="{8614DA5F-0A16-4FD0-BDD1-0E388AC012D7}" name="個人／構成比" dataDxfId="172"/>
    <tableColumn id="14" xr3:uid="{4A58D305-996E-4D4A-BBC9-6AC7097BA839}" name="法人／事業所数" dataCellStyle="桁区切り"/>
    <tableColumn id="15" xr3:uid="{479A9928-29CC-484D-809C-51B26C6DF6B8}" name="法人／構成比" dataDxfId="171"/>
    <tableColumn id="16" xr3:uid="{DBFBA70B-52FF-4777-9E87-077D05215CED}" name="法人以外の団体／事業所数" dataCellStyle="桁区切り"/>
  </tableColumns>
  <tableStyleInfo name="TableStyleMedium9" showFirstColumn="0" showLastColumn="0" showRowStripes="1" showColumnStripes="0"/>
</table>
</file>

<file path=xl/tables/table1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9" xr:uid="{E595EF05-8A12-43BA-A40C-973EE02CD32E}" name="S_TABLE_40544" displayName="S_TABLE_40544" ref="B49:I71" totalsRowShown="0">
  <autoFilter ref="B49:I71" xr:uid="{E595EF05-8A12-43BA-A40C-973EE02CD32E}"/>
  <tableColumns count="8">
    <tableColumn id="9" xr3:uid="{A2F287E2-3C54-4025-9A7A-CD91C0A6C0D9}" name="産業小分類上位２０"/>
    <tableColumn id="10" xr3:uid="{5E4042B9-19A8-410D-91AB-75055A3503BD}" name="総数／事業所数" dataCellStyle="桁区切り"/>
    <tableColumn id="11" xr3:uid="{3B04CA5F-77E4-409F-BC77-3AB98DE063F7}" name="総数／構成比" dataDxfId="170"/>
    <tableColumn id="12" xr3:uid="{6E4C6496-8124-4F1A-8344-97F24F180630}" name="個人／事業所数" dataCellStyle="桁区切り"/>
    <tableColumn id="13" xr3:uid="{EFF836C1-D362-45E2-B2F1-60BA06F6D2E7}" name="個人／構成比" dataDxfId="169"/>
    <tableColumn id="14" xr3:uid="{990FA4B7-D12B-4095-B779-057162EAE42C}" name="法人／事業所数" dataCellStyle="桁区切り"/>
    <tableColumn id="15" xr3:uid="{30885159-8F2A-4D32-8FA1-12892B289E2E}" name="法人／構成比" dataDxfId="168"/>
    <tableColumn id="16" xr3:uid="{B0107A21-1944-4776-A79D-FD78C976352E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51C94E68-7886-41EC-8C04-869E225C8FAD}" name="LTBL_40107" displayName="LTBL_40107" ref="B4:I20" totalsRowCount="1">
  <autoFilter ref="B4:I19" xr:uid="{51C94E68-7886-41EC-8C04-869E225C8FAD}"/>
  <tableColumns count="8">
    <tableColumn id="9" xr3:uid="{B0669C59-3271-4048-ABBE-31D1463CEB9C}" name="産業大分類" totalsRowLabel="合計" totalsRowDxfId="965"/>
    <tableColumn id="10" xr3:uid="{CA0A1C35-27E7-442E-BE1F-58BEEA7A3027}" name="総数／事業所数" totalsRowFunction="custom" totalsRowDxfId="964" dataCellStyle="桁区切り" totalsRowCellStyle="桁区切り">
      <totalsRowFormula>SUM(LTBL_40107[総数／事業所数])</totalsRowFormula>
    </tableColumn>
    <tableColumn id="11" xr3:uid="{FAD63D76-7301-4C4A-9B35-118BD92C55F9}" name="総数／構成比" dataDxfId="963"/>
    <tableColumn id="12" xr3:uid="{6D5E3D4E-9BA1-4132-B500-C01709970C26}" name="個人／事業所数" totalsRowFunction="sum" totalsRowDxfId="962" dataCellStyle="桁区切り" totalsRowCellStyle="桁区切り"/>
    <tableColumn id="13" xr3:uid="{3D4DA513-7E2D-4A1D-B839-33A109A1E604}" name="個人／構成比" dataDxfId="961"/>
    <tableColumn id="14" xr3:uid="{933BD002-8449-49A4-B328-D8681D4E3633}" name="法人／事業所数" totalsRowFunction="sum" totalsRowDxfId="960" dataCellStyle="桁区切り" totalsRowCellStyle="桁区切り"/>
    <tableColumn id="15" xr3:uid="{6E24001A-54C4-43C9-987C-6DDB47BB7C7C}" name="法人／構成比" dataDxfId="959"/>
    <tableColumn id="16" xr3:uid="{453367E6-80DE-41BD-958F-BEFA64D5C2EE}" name="法人以外の団体／事業所数" totalsRowFunction="sum" totalsRowDxfId="958" dataCellStyle="桁区切り" totalsRowCellStyle="桁区切り"/>
  </tableColumns>
  <tableStyleInfo name="TableStyleMedium9" showFirstColumn="0" showLastColumn="0" showRowStripes="1" showColumnStripes="0"/>
</table>
</file>

<file path=xl/tables/table1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0" xr:uid="{942677A6-8998-4AEB-A5E6-45C0297CB479}" name="LTBL_40601" displayName="LTBL_40601" ref="B4:I20" totalsRowCount="1">
  <autoFilter ref="B4:I19" xr:uid="{942677A6-8998-4AEB-A5E6-45C0297CB479}"/>
  <tableColumns count="8">
    <tableColumn id="9" xr3:uid="{DFB001CE-96B5-4DFE-887C-671FC2D991E4}" name="産業大分類" totalsRowLabel="合計" totalsRowDxfId="167"/>
    <tableColumn id="10" xr3:uid="{1564F46A-EA08-4D7D-BD98-82E5E3F987FC}" name="総数／事業所数" totalsRowFunction="custom" totalsRowDxfId="166" dataCellStyle="桁区切り" totalsRowCellStyle="桁区切り">
      <totalsRowFormula>SUM(LTBL_40601[総数／事業所数])</totalsRowFormula>
    </tableColumn>
    <tableColumn id="11" xr3:uid="{7091DFC1-4A84-466F-A355-F7F37E14EE69}" name="総数／構成比" dataDxfId="165"/>
    <tableColumn id="12" xr3:uid="{95B4A14F-9928-4BF1-A73E-9E401DAE5299}" name="個人／事業所数" totalsRowFunction="sum" totalsRowDxfId="164" dataCellStyle="桁区切り" totalsRowCellStyle="桁区切り"/>
    <tableColumn id="13" xr3:uid="{10017E6E-AD83-4765-8B1D-EAA446F9891A}" name="個人／構成比" dataDxfId="163"/>
    <tableColumn id="14" xr3:uid="{BAB69638-B755-4B9A-BC0C-671FF934DDC9}" name="法人／事業所数" totalsRowFunction="sum" totalsRowDxfId="162" dataCellStyle="桁区切り" totalsRowCellStyle="桁区切り"/>
    <tableColumn id="15" xr3:uid="{CA7DDD90-81B6-4CBF-B34F-CFF31B5D319F}" name="法人／構成比" dataDxfId="161"/>
    <tableColumn id="16" xr3:uid="{BEE5E8EF-06A7-4154-859E-3E86FA697893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1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1" xr:uid="{AFC0AAAD-1DA4-4BC5-8F78-99EE79CB8B7B}" name="M_TABLE_40601" displayName="M_TABLE_40601" ref="B23:I51" totalsRowShown="0">
  <autoFilter ref="B23:I51" xr:uid="{AFC0AAAD-1DA4-4BC5-8F78-99EE79CB8B7B}"/>
  <tableColumns count="8">
    <tableColumn id="9" xr3:uid="{D6B30FEB-39A7-44C2-BB90-4BD225533476}" name="産業中分類上位２０"/>
    <tableColumn id="10" xr3:uid="{085D44FB-55DC-42A1-8FD3-6E2D17A7A9A8}" name="総数／事業所数" dataCellStyle="桁区切り"/>
    <tableColumn id="11" xr3:uid="{E9957EB0-D0C9-4244-A723-AEAD9F23E417}" name="総数／構成比" dataDxfId="159"/>
    <tableColumn id="12" xr3:uid="{14E57765-B8F2-4ED2-A36F-EDDDC45FB067}" name="個人／事業所数" dataCellStyle="桁区切り"/>
    <tableColumn id="13" xr3:uid="{1D75E81F-AF95-4EA8-88EE-45DCFBDBE872}" name="個人／構成比" dataDxfId="158"/>
    <tableColumn id="14" xr3:uid="{D748BE00-5204-4B8A-9D2F-5FC80D257AAD}" name="法人／事業所数" dataCellStyle="桁区切り"/>
    <tableColumn id="15" xr3:uid="{ACB41E75-2A2A-4F67-8618-E1BB1BBF5F39}" name="法人／構成比" dataDxfId="157"/>
    <tableColumn id="16" xr3:uid="{A456C7EC-A036-40AA-B67B-9221141722AB}" name="法人以外の団体／事業所数" dataCellStyle="桁区切り"/>
  </tableColumns>
  <tableStyleInfo name="TableStyleMedium9" showFirstColumn="0" showLastColumn="0" showRowStripes="1" showColumnStripes="0"/>
</table>
</file>

<file path=xl/tables/table1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2" xr:uid="{14677FED-4ECF-41D3-8902-E891284F419C}" name="S_TABLE_40601" displayName="S_TABLE_40601" ref="B54:I77" totalsRowShown="0">
  <autoFilter ref="B54:I77" xr:uid="{14677FED-4ECF-41D3-8902-E891284F419C}"/>
  <tableColumns count="8">
    <tableColumn id="9" xr3:uid="{E0AFBC60-C7DF-4300-8FCD-49F21525C7A9}" name="産業小分類上位２０"/>
    <tableColumn id="10" xr3:uid="{B7242B69-C747-4BBA-9C06-F372FF0602D6}" name="総数／事業所数" dataCellStyle="桁区切り"/>
    <tableColumn id="11" xr3:uid="{F6F40A04-3C4F-4458-8B4C-4D82E7F19B21}" name="総数／構成比" dataDxfId="156"/>
    <tableColumn id="12" xr3:uid="{F7E77801-A23B-45BF-963B-81942767D157}" name="個人／事業所数" dataCellStyle="桁区切り"/>
    <tableColumn id="13" xr3:uid="{2BC076D8-A351-406C-BE86-2C9D892D74B8}" name="個人／構成比" dataDxfId="155"/>
    <tableColumn id="14" xr3:uid="{32C34752-45C7-4471-BDC7-74014B391984}" name="法人／事業所数" dataCellStyle="桁区切り"/>
    <tableColumn id="15" xr3:uid="{14237F24-1F66-4971-8A21-D6048E642FB9}" name="法人／構成比" dataDxfId="154"/>
    <tableColumn id="16" xr3:uid="{8D6304BB-F8C7-4E43-97D9-4C9CA14BA865}" name="法人以外の団体／事業所数" dataCellStyle="桁区切り"/>
  </tableColumns>
  <tableStyleInfo name="TableStyleMedium9" showFirstColumn="0" showLastColumn="0" showRowStripes="1" showColumnStripes="0"/>
</table>
</file>

<file path=xl/tables/table1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3" xr:uid="{1BE173A4-F8A0-4DF9-8BB4-D47FC7EA9B28}" name="LTBL_40602" displayName="LTBL_40602" ref="B4:I20" totalsRowCount="1">
  <autoFilter ref="B4:I19" xr:uid="{1BE173A4-F8A0-4DF9-8BB4-D47FC7EA9B28}"/>
  <tableColumns count="8">
    <tableColumn id="9" xr3:uid="{CED78C65-6A04-4186-85A9-AB471C1D5F66}" name="産業大分類" totalsRowLabel="合計" totalsRowDxfId="153"/>
    <tableColumn id="10" xr3:uid="{E75ABF9D-4A90-4C6D-8CCC-125A72F52603}" name="総数／事業所数" totalsRowFunction="custom" totalsRowDxfId="152" dataCellStyle="桁区切り" totalsRowCellStyle="桁区切り">
      <totalsRowFormula>SUM(LTBL_40602[総数／事業所数])</totalsRowFormula>
    </tableColumn>
    <tableColumn id="11" xr3:uid="{203E74E3-7284-41A0-AA93-5F7563814230}" name="総数／構成比" dataDxfId="151"/>
    <tableColumn id="12" xr3:uid="{2915ABC2-9B62-46A4-AA70-B57006183F4B}" name="個人／事業所数" totalsRowFunction="sum" totalsRowDxfId="150" dataCellStyle="桁区切り" totalsRowCellStyle="桁区切り"/>
    <tableColumn id="13" xr3:uid="{7114EB5C-657C-477A-B99F-D6C5723CDE3F}" name="個人／構成比" dataDxfId="149"/>
    <tableColumn id="14" xr3:uid="{7CD5DDD7-8398-4E39-A82E-78C839F8C879}" name="法人／事業所数" totalsRowFunction="sum" totalsRowDxfId="148" dataCellStyle="桁区切り" totalsRowCellStyle="桁区切り"/>
    <tableColumn id="15" xr3:uid="{91527967-0EA2-49B9-A6D4-3444357F132D}" name="法人／構成比" dataDxfId="147"/>
    <tableColumn id="16" xr3:uid="{E625662D-E491-463C-8A88-E51096ABA130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1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4" xr:uid="{AE2A1772-8412-4E69-A2F2-503B46A79B82}" name="M_TABLE_40602" displayName="M_TABLE_40602" ref="B23:I49" totalsRowShown="0">
  <autoFilter ref="B23:I49" xr:uid="{AE2A1772-8412-4E69-A2F2-503B46A79B82}"/>
  <tableColumns count="8">
    <tableColumn id="9" xr3:uid="{E8DED7E4-2956-4C72-BDA2-43165BE181C2}" name="産業中分類上位２０"/>
    <tableColumn id="10" xr3:uid="{D531D42D-DD19-43BF-AB37-E909F5E192D7}" name="総数／事業所数" dataCellStyle="桁区切り"/>
    <tableColumn id="11" xr3:uid="{CC499F46-913E-436E-AE4C-CB228CDECE9C}" name="総数／構成比" dataDxfId="145"/>
    <tableColumn id="12" xr3:uid="{D135D023-E3BD-45DB-8C9F-D7B1662856AA}" name="個人／事業所数" dataCellStyle="桁区切り"/>
    <tableColumn id="13" xr3:uid="{6AE8DA38-B033-4BCC-A885-185662D229C6}" name="個人／構成比" dataDxfId="144"/>
    <tableColumn id="14" xr3:uid="{5F5CCF31-57BC-4E2D-BB81-679DEDEE0DFE}" name="法人／事業所数" dataCellStyle="桁区切り"/>
    <tableColumn id="15" xr3:uid="{4CC30943-569E-4BB8-A250-8892DAA32F29}" name="法人／構成比" dataDxfId="143"/>
    <tableColumn id="16" xr3:uid="{E553B58B-152F-40AA-BE5F-EBC49CF09167}" name="法人以外の団体／事業所数" dataCellStyle="桁区切り"/>
  </tableColumns>
  <tableStyleInfo name="TableStyleMedium9" showFirstColumn="0" showLastColumn="0" showRowStripes="1" showColumnStripes="0"/>
</table>
</file>

<file path=xl/tables/table1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5" xr:uid="{F22576FF-3929-43F2-AACA-0322248C9C33}" name="S_TABLE_40602" displayName="S_TABLE_40602" ref="B52:I72" totalsRowShown="0">
  <autoFilter ref="B52:I72" xr:uid="{F22576FF-3929-43F2-AACA-0322248C9C33}"/>
  <tableColumns count="8">
    <tableColumn id="9" xr3:uid="{13DEEF1A-CFAB-41C9-A690-DFC949B9F6A3}" name="産業小分類上位２０"/>
    <tableColumn id="10" xr3:uid="{EBB417FE-CF46-4F51-94CB-BB461E1DDED7}" name="総数／事業所数" dataCellStyle="桁区切り"/>
    <tableColumn id="11" xr3:uid="{746180D9-F7E0-4AB4-8E0C-551282B2EE10}" name="総数／構成比" dataDxfId="142"/>
    <tableColumn id="12" xr3:uid="{9513E3F7-2A01-4903-9287-835DC5A8979C}" name="個人／事業所数" dataCellStyle="桁区切り"/>
    <tableColumn id="13" xr3:uid="{9D3F5545-5C7A-45B8-9F47-10FBCB8C7AE1}" name="個人／構成比" dataDxfId="141"/>
    <tableColumn id="14" xr3:uid="{FBA657D2-1B76-46CA-9E41-04C7382DCE75}" name="法人／事業所数" dataCellStyle="桁区切り"/>
    <tableColumn id="15" xr3:uid="{EA43BB4A-C009-4E33-A849-E9293260B649}" name="法人／構成比" dataDxfId="140"/>
    <tableColumn id="16" xr3:uid="{376D39A2-FAB0-4032-859E-EF8459716BA0}" name="法人以外の団体／事業所数" dataCellStyle="桁区切り"/>
  </tableColumns>
  <tableStyleInfo name="TableStyleMedium9" showFirstColumn="0" showLastColumn="0" showRowStripes="1" showColumnStripes="0"/>
</table>
</file>

<file path=xl/tables/table1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6" xr:uid="{6FEDBA75-10C0-4663-A4AB-3700368B37A4}" name="LTBL_40604" displayName="LTBL_40604" ref="B4:I20" totalsRowCount="1">
  <autoFilter ref="B4:I19" xr:uid="{6FEDBA75-10C0-4663-A4AB-3700368B37A4}"/>
  <tableColumns count="8">
    <tableColumn id="9" xr3:uid="{F777F4EC-C2FE-4ABC-ADB2-69062135FFFD}" name="産業大分類" totalsRowLabel="合計" totalsRowDxfId="139"/>
    <tableColumn id="10" xr3:uid="{BE028ADF-FE4B-452B-B89E-64693794A5B3}" name="総数／事業所数" totalsRowFunction="custom" totalsRowDxfId="138" dataCellStyle="桁区切り" totalsRowCellStyle="桁区切り">
      <totalsRowFormula>SUM(LTBL_40604[総数／事業所数])</totalsRowFormula>
    </tableColumn>
    <tableColumn id="11" xr3:uid="{3484CE73-7ABE-41FD-A3CE-3AE9D39EAF6E}" name="総数／構成比" dataDxfId="137"/>
    <tableColumn id="12" xr3:uid="{6C4B7AE5-6555-4C41-A1CC-18B95AB975C7}" name="個人／事業所数" totalsRowFunction="sum" totalsRowDxfId="136" dataCellStyle="桁区切り" totalsRowCellStyle="桁区切り"/>
    <tableColumn id="13" xr3:uid="{A71EDDC2-5A72-4D33-8838-8D7D25D241A0}" name="個人／構成比" dataDxfId="135"/>
    <tableColumn id="14" xr3:uid="{71E07ACD-80CB-41B6-8934-A68228D15105}" name="法人／事業所数" totalsRowFunction="sum" totalsRowDxfId="134" dataCellStyle="桁区切り" totalsRowCellStyle="桁区切り"/>
    <tableColumn id="15" xr3:uid="{9F12B717-49FF-4354-A573-F48CD7CE7052}" name="法人／構成比" dataDxfId="133"/>
    <tableColumn id="16" xr3:uid="{D8E2BC3D-2BA3-4FD8-A8F9-7C9096099133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1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7" xr:uid="{94ED5050-6E2B-4816-ADE6-FB4607241C10}" name="M_TABLE_40604" displayName="M_TABLE_40604" ref="B23:I50" totalsRowShown="0">
  <autoFilter ref="B23:I50" xr:uid="{94ED5050-6E2B-4816-ADE6-FB4607241C10}"/>
  <tableColumns count="8">
    <tableColumn id="9" xr3:uid="{6C671018-5E5B-4CA1-B347-71D0990E5823}" name="産業中分類上位２０"/>
    <tableColumn id="10" xr3:uid="{E4CF6874-6887-44C4-B854-BE2B53208B0A}" name="総数／事業所数" dataCellStyle="桁区切り"/>
    <tableColumn id="11" xr3:uid="{BED96992-69C4-4491-88C6-B0656CB94C99}" name="総数／構成比" dataDxfId="131"/>
    <tableColumn id="12" xr3:uid="{64698B1C-09A1-4FF8-B02B-E4495CEC4FCD}" name="個人／事業所数" dataCellStyle="桁区切り"/>
    <tableColumn id="13" xr3:uid="{8CD08953-C3EA-46DC-8E4F-C22104BFD7DB}" name="個人／構成比" dataDxfId="130"/>
    <tableColumn id="14" xr3:uid="{049FFD47-439C-42D6-A917-7890742E455A}" name="法人／事業所数" dataCellStyle="桁区切り"/>
    <tableColumn id="15" xr3:uid="{C5555724-8891-404F-ADBE-7C791ED27003}" name="法人／構成比" dataDxfId="129"/>
    <tableColumn id="16" xr3:uid="{EE9C79CD-112D-4178-B78C-2FD1BF9E901B}" name="法人以外の団体／事業所数" dataCellStyle="桁区切り"/>
  </tableColumns>
  <tableStyleInfo name="TableStyleMedium9" showFirstColumn="0" showLastColumn="0" showRowStripes="1" showColumnStripes="0"/>
</table>
</file>

<file path=xl/tables/table1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8" xr:uid="{E0DDD8C4-4D4C-4E8B-9044-39D546F41044}" name="S_TABLE_40604" displayName="S_TABLE_40604" ref="B53:I76" totalsRowShown="0">
  <autoFilter ref="B53:I76" xr:uid="{E0DDD8C4-4D4C-4E8B-9044-39D546F41044}"/>
  <tableColumns count="8">
    <tableColumn id="9" xr3:uid="{4D8A9273-B3FB-446B-B23F-5C68D1F10B25}" name="産業小分類上位２０"/>
    <tableColumn id="10" xr3:uid="{4AD40C5D-67EE-4CE8-B449-5435888AC52B}" name="総数／事業所数" dataCellStyle="桁区切り"/>
    <tableColumn id="11" xr3:uid="{9A0E453E-AE94-4FC6-BC9E-D306DDC8E2A0}" name="総数／構成比" dataDxfId="128"/>
    <tableColumn id="12" xr3:uid="{91557942-7AAA-499C-B909-A2098A08AE6B}" name="個人／事業所数" dataCellStyle="桁区切り"/>
    <tableColumn id="13" xr3:uid="{8FEEF6DC-A266-427A-B460-6B869EE20CEF}" name="個人／構成比" dataDxfId="127"/>
    <tableColumn id="14" xr3:uid="{CB9A3E19-7EFB-4B3E-BCCB-08AC637E3EF4}" name="法人／事業所数" dataCellStyle="桁区切り"/>
    <tableColumn id="15" xr3:uid="{03A99CA8-0911-45F1-B161-368D511CB3F0}" name="法人／構成比" dataDxfId="126"/>
    <tableColumn id="16" xr3:uid="{BCB233AF-F36B-42FB-9F5D-F0709E1A4CF1}" name="法人以外の団体／事業所数" dataCellStyle="桁区切り"/>
  </tableColumns>
  <tableStyleInfo name="TableStyleMedium9" showFirstColumn="0" showLastColumn="0" showRowStripes="1" showColumnStripes="0"/>
</table>
</file>

<file path=xl/tables/table1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9" xr:uid="{1A7921B5-9C08-4995-B692-A5A424FBB1A7}" name="LTBL_40605" displayName="LTBL_40605" ref="B4:I20" totalsRowCount="1">
  <autoFilter ref="B4:I19" xr:uid="{1A7921B5-9C08-4995-B692-A5A424FBB1A7}"/>
  <tableColumns count="8">
    <tableColumn id="9" xr3:uid="{BF4B2B85-0645-4406-9325-CEE685798C5B}" name="産業大分類" totalsRowLabel="合計" totalsRowDxfId="125"/>
    <tableColumn id="10" xr3:uid="{73B9CB17-7B46-48F9-BB86-782985FE6251}" name="総数／事業所数" totalsRowFunction="custom" totalsRowDxfId="124" dataCellStyle="桁区切り" totalsRowCellStyle="桁区切り">
      <totalsRowFormula>SUM(LTBL_40605[総数／事業所数])</totalsRowFormula>
    </tableColumn>
    <tableColumn id="11" xr3:uid="{61D1F483-026C-44BA-8785-AA41656BF2E7}" name="総数／構成比" dataDxfId="123"/>
    <tableColumn id="12" xr3:uid="{9F6F7DCE-9A60-4B74-BD84-EEB156C0A162}" name="個人／事業所数" totalsRowFunction="sum" totalsRowDxfId="122" dataCellStyle="桁区切り" totalsRowCellStyle="桁区切り"/>
    <tableColumn id="13" xr3:uid="{C15EF407-FD1A-48BC-A445-6B9592346ADE}" name="個人／構成比" dataDxfId="121"/>
    <tableColumn id="14" xr3:uid="{B4A8E650-F10E-4E1C-B6E4-731311DA0B5C}" name="法人／事業所数" totalsRowFunction="sum" totalsRowDxfId="120" dataCellStyle="桁区切り" totalsRowCellStyle="桁区切り"/>
    <tableColumn id="15" xr3:uid="{B13BF531-A20D-40CE-B094-2F5F7DE1E7DE}" name="法人／構成比" dataDxfId="119"/>
    <tableColumn id="16" xr3:uid="{720EC5BF-2F86-4E5E-9197-9586E9D149CB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E67745-0D7A-4877-BB37-4B79D9E4D1FB}" name="M_TABLE_40000" displayName="M_TABLE_40000" ref="B23:I43" totalsRowShown="0">
  <autoFilter ref="B23:I43" xr:uid="{6DE67745-0D7A-4877-BB37-4B79D9E4D1FB}"/>
  <tableColumns count="8">
    <tableColumn id="9" xr3:uid="{6BAE51D3-4618-4603-8097-F83D8A9F397B}" name="産業中分類上位２０"/>
    <tableColumn id="10" xr3:uid="{E5061387-1B50-4D57-8B28-33A351D93379}" name="総数／事業所数" dataCellStyle="桁区切り"/>
    <tableColumn id="11" xr3:uid="{E8B9418C-FEF5-425B-B192-2F65653ED9C6}" name="総数／構成比" dataDxfId="1041"/>
    <tableColumn id="12" xr3:uid="{A9CD22D1-01A9-4B5C-9086-B03B99F071FA}" name="個人／事業所数" dataCellStyle="桁区切り"/>
    <tableColumn id="13" xr3:uid="{B0EB5B18-E397-4490-A06C-8FA2432EE1AE}" name="個人／構成比" dataDxfId="1040"/>
    <tableColumn id="14" xr3:uid="{7992A3F1-EE1A-4889-92BE-1C98D7783A41}" name="法人／事業所数" dataCellStyle="桁区切り"/>
    <tableColumn id="15" xr3:uid="{E6F73D78-BC71-4BD4-BF6E-A9B8865AEE06}" name="法人／構成比" dataDxfId="1039"/>
    <tableColumn id="16" xr3:uid="{6C2F2D91-B429-4DBF-86CF-18C1769BFA3A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8D7EEBE-F5B6-4078-A621-C370315FF7C0}" name="M_TABLE_40107" displayName="M_TABLE_40107" ref="B23:I43" totalsRowShown="0">
  <autoFilter ref="B23:I43" xr:uid="{D8D7EEBE-F5B6-4078-A621-C370315FF7C0}"/>
  <tableColumns count="8">
    <tableColumn id="9" xr3:uid="{34755E9C-4C43-487B-8481-A1BA4B10FDBD}" name="産業中分類上位２０"/>
    <tableColumn id="10" xr3:uid="{C05E06BA-72E9-4B18-978A-76AD354DD211}" name="総数／事業所数" dataCellStyle="桁区切り"/>
    <tableColumn id="11" xr3:uid="{E45BB368-EF50-44D3-9EEC-323069A945DE}" name="総数／構成比" dataDxfId="957"/>
    <tableColumn id="12" xr3:uid="{F677C046-BCE2-4A46-978C-C3F2D832FC15}" name="個人／事業所数" dataCellStyle="桁区切り"/>
    <tableColumn id="13" xr3:uid="{23B1E3FA-424E-48C2-B59D-1CD73473687C}" name="個人／構成比" dataDxfId="956"/>
    <tableColumn id="14" xr3:uid="{6607A5DE-DA97-47A8-B085-1E81ADF58D2E}" name="法人／事業所数" dataCellStyle="桁区切り"/>
    <tableColumn id="15" xr3:uid="{275F6673-B34F-4B4A-A1F0-27BF1E76BE05}" name="法人／構成比" dataDxfId="955"/>
    <tableColumn id="16" xr3:uid="{DB8DACCC-815A-4C4A-9F7C-39F736B1FCA2}" name="法人以外の団体／事業所数" dataCellStyle="桁区切り"/>
  </tableColumns>
  <tableStyleInfo name="TableStyleMedium9" showFirstColumn="0" showLastColumn="0" showRowStripes="1" showColumnStripes="0"/>
</table>
</file>

<file path=xl/tables/table2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0" xr:uid="{E6A04BD8-2E52-4C99-B529-CCCF4ADF6427}" name="M_TABLE_40605" displayName="M_TABLE_40605" ref="B23:I44" totalsRowShown="0">
  <autoFilter ref="B23:I44" xr:uid="{E6A04BD8-2E52-4C99-B529-CCCF4ADF6427}"/>
  <tableColumns count="8">
    <tableColumn id="9" xr3:uid="{392DCC7C-23A1-41BE-A83E-46EA7AF1CA76}" name="産業中分類上位２０"/>
    <tableColumn id="10" xr3:uid="{09D8E124-1E11-43CE-81C7-3D9A5274864C}" name="総数／事業所数" dataCellStyle="桁区切り"/>
    <tableColumn id="11" xr3:uid="{DEFC5F75-789B-476E-8F11-8C6B7C30B9EF}" name="総数／構成比" dataDxfId="117"/>
    <tableColumn id="12" xr3:uid="{88D64AC5-BBEA-4E06-8140-751DEF8E0B41}" name="個人／事業所数" dataCellStyle="桁区切り"/>
    <tableColumn id="13" xr3:uid="{DA6C92C0-EE25-4282-8F0E-06473659EC9A}" name="個人／構成比" dataDxfId="116"/>
    <tableColumn id="14" xr3:uid="{6AEEE970-7BD5-413D-9ABF-07A9E85C59E6}" name="法人／事業所数" dataCellStyle="桁区切り"/>
    <tableColumn id="15" xr3:uid="{435BCCEB-494A-496B-82AB-0106DADAD0C6}" name="法人／構成比" dataDxfId="115"/>
    <tableColumn id="16" xr3:uid="{46FCA715-2E92-4FA0-B566-D15A1C788ED7}" name="法人以外の団体／事業所数" dataCellStyle="桁区切り"/>
  </tableColumns>
  <tableStyleInfo name="TableStyleMedium9" showFirstColumn="0" showLastColumn="0" showRowStripes="1" showColumnStripes="0"/>
</table>
</file>

<file path=xl/tables/table2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1" xr:uid="{99EE6C89-FE7D-463A-8580-505B456DA54B}" name="S_TABLE_40605" displayName="S_TABLE_40605" ref="B47:I71" totalsRowShown="0">
  <autoFilter ref="B47:I71" xr:uid="{99EE6C89-FE7D-463A-8580-505B456DA54B}"/>
  <tableColumns count="8">
    <tableColumn id="9" xr3:uid="{1A711BCF-9816-438A-A50A-452DB99B7C03}" name="産業小分類上位２０"/>
    <tableColumn id="10" xr3:uid="{8D644719-509A-4F7D-B801-551B2C045A92}" name="総数／事業所数" dataCellStyle="桁区切り"/>
    <tableColumn id="11" xr3:uid="{C5CB312A-5A23-4423-B29F-47EB92429E7F}" name="総数／構成比" dataDxfId="114"/>
    <tableColumn id="12" xr3:uid="{974337D6-B038-4654-8D20-1BEDCCD3C2F9}" name="個人／事業所数" dataCellStyle="桁区切り"/>
    <tableColumn id="13" xr3:uid="{73D549E9-A117-4295-8923-740F0D0C0013}" name="個人／構成比" dataDxfId="113"/>
    <tableColumn id="14" xr3:uid="{43DDCF7A-1A29-4E06-A811-31B6EEED6E6F}" name="法人／事業所数" dataCellStyle="桁区切り"/>
    <tableColumn id="15" xr3:uid="{301578B6-675B-4090-A91F-E3B940C8CC0C}" name="法人／構成比" dataDxfId="112"/>
    <tableColumn id="16" xr3:uid="{591CBA1B-22E3-4F28-AC55-47BB551F0496}" name="法人以外の団体／事業所数" dataCellStyle="桁区切り"/>
  </tableColumns>
  <tableStyleInfo name="TableStyleMedium9" showFirstColumn="0" showLastColumn="0" showRowStripes="1" showColumnStripes="0"/>
</table>
</file>

<file path=xl/tables/table2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2" xr:uid="{8D9DF481-BC99-4B75-9F6F-ADCBE22788C4}" name="LTBL_40608" displayName="LTBL_40608" ref="B4:I20" totalsRowCount="1">
  <autoFilter ref="B4:I19" xr:uid="{8D9DF481-BC99-4B75-9F6F-ADCBE22788C4}"/>
  <tableColumns count="8">
    <tableColumn id="9" xr3:uid="{CC0FBD60-1EDA-441D-8087-187E9CA25046}" name="産業大分類" totalsRowLabel="合計" totalsRowDxfId="111"/>
    <tableColumn id="10" xr3:uid="{4A809D43-A9B9-447C-B760-D8E4BE192C72}" name="総数／事業所数" totalsRowFunction="custom" totalsRowDxfId="110" dataCellStyle="桁区切り" totalsRowCellStyle="桁区切り">
      <totalsRowFormula>SUM(LTBL_40608[総数／事業所数])</totalsRowFormula>
    </tableColumn>
    <tableColumn id="11" xr3:uid="{AF380F26-E246-428C-8ECE-E175C29ED0FE}" name="総数／構成比" dataDxfId="109"/>
    <tableColumn id="12" xr3:uid="{3599FF07-34AB-4113-B787-AE28B9251EAD}" name="個人／事業所数" totalsRowFunction="sum" totalsRowDxfId="108" dataCellStyle="桁区切り" totalsRowCellStyle="桁区切り"/>
    <tableColumn id="13" xr3:uid="{61EDA6DB-2B37-45F3-94C9-7731441F966B}" name="個人／構成比" dataDxfId="107"/>
    <tableColumn id="14" xr3:uid="{94F7F425-772B-4F26-8FD0-A4CC1F8E0C96}" name="法人／事業所数" totalsRowFunction="sum" totalsRowDxfId="106" dataCellStyle="桁区切り" totalsRowCellStyle="桁区切り"/>
    <tableColumn id="15" xr3:uid="{73095347-2286-4A03-BBEE-0FA02E942FEA}" name="法人／構成比" dataDxfId="105"/>
    <tableColumn id="16" xr3:uid="{335A40A1-5ADE-4328-9733-162EFABE3B17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2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3" xr:uid="{EF18C373-E90A-4999-AFB2-9A180539524F}" name="M_TABLE_40608" displayName="M_TABLE_40608" ref="B23:I44" totalsRowShown="0">
  <autoFilter ref="B23:I44" xr:uid="{EF18C373-E90A-4999-AFB2-9A180539524F}"/>
  <tableColumns count="8">
    <tableColumn id="9" xr3:uid="{4F707C4C-70DF-482A-8D51-B31DF3932941}" name="産業中分類上位２０"/>
    <tableColumn id="10" xr3:uid="{7BEB5FC9-6AC0-4942-A0AA-A636D26F4B57}" name="総数／事業所数" dataCellStyle="桁区切り"/>
    <tableColumn id="11" xr3:uid="{12052C0E-5896-4ACC-A85A-3844F1E1F1B8}" name="総数／構成比" dataDxfId="103"/>
    <tableColumn id="12" xr3:uid="{9391B70F-A25A-4AE5-9D30-714DEEDD52A5}" name="個人／事業所数" dataCellStyle="桁区切り"/>
    <tableColumn id="13" xr3:uid="{6AE35D75-04AA-4ADF-A3CE-EC9A70774C58}" name="個人／構成比" dataDxfId="102"/>
    <tableColumn id="14" xr3:uid="{E6E18C01-E84C-40D1-908E-CF7243DA229D}" name="法人／事業所数" dataCellStyle="桁区切り"/>
    <tableColumn id="15" xr3:uid="{C5374009-309C-45CA-9534-F391F055DAFB}" name="法人／構成比" dataDxfId="101"/>
    <tableColumn id="16" xr3:uid="{09691022-A336-492E-B6C0-A158691135E0}" name="法人以外の団体／事業所数" dataCellStyle="桁区切り"/>
  </tableColumns>
  <tableStyleInfo name="TableStyleMedium9" showFirstColumn="0" showLastColumn="0" showRowStripes="1" showColumnStripes="0"/>
</table>
</file>

<file path=xl/tables/table2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4" xr:uid="{D2174F85-6FA6-40D1-92C0-3296FE72CEBF}" name="S_TABLE_40608" displayName="S_TABLE_40608" ref="B47:I67" totalsRowShown="0">
  <autoFilter ref="B47:I67" xr:uid="{D2174F85-6FA6-40D1-92C0-3296FE72CEBF}"/>
  <tableColumns count="8">
    <tableColumn id="9" xr3:uid="{C593BEED-DEDD-45DB-94BC-3A8143C7F65B}" name="産業小分類上位２０"/>
    <tableColumn id="10" xr3:uid="{717E3C02-5F40-4390-AF1D-04C91095F980}" name="総数／事業所数" dataCellStyle="桁区切り"/>
    <tableColumn id="11" xr3:uid="{974B63B7-B2BB-4168-8861-3F870C3D6A37}" name="総数／構成比" dataDxfId="100"/>
    <tableColumn id="12" xr3:uid="{EE03285D-E858-49F9-9CB2-8A565709CC98}" name="個人／事業所数" dataCellStyle="桁区切り"/>
    <tableColumn id="13" xr3:uid="{2F6F7114-DC7F-47C9-B3EC-6001CEB90D34}" name="個人／構成比" dataDxfId="99"/>
    <tableColumn id="14" xr3:uid="{AED647C2-FB13-410A-9442-9B563B065A72}" name="法人／事業所数" dataCellStyle="桁区切り"/>
    <tableColumn id="15" xr3:uid="{9B657D73-9C50-4A17-9AF4-7CD468C38F7F}" name="法人／構成比" dataDxfId="98"/>
    <tableColumn id="16" xr3:uid="{2328AF22-4B81-4C11-992C-F08959FC5034}" name="法人以外の団体／事業所数" dataCellStyle="桁区切り"/>
  </tableColumns>
  <tableStyleInfo name="TableStyleMedium9" showFirstColumn="0" showLastColumn="0" showRowStripes="1" showColumnStripes="0"/>
</table>
</file>

<file path=xl/tables/table2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5" xr:uid="{97DAC5F5-C9C7-4239-97C3-0A85950120E0}" name="LTBL_40609" displayName="LTBL_40609" ref="B4:I20" totalsRowCount="1">
  <autoFilter ref="B4:I19" xr:uid="{97DAC5F5-C9C7-4239-97C3-0A85950120E0}"/>
  <tableColumns count="8">
    <tableColumn id="9" xr3:uid="{08EFEDF1-F502-4990-B0A7-AF6A703CE103}" name="産業大分類" totalsRowLabel="合計" totalsRowDxfId="97"/>
    <tableColumn id="10" xr3:uid="{4A314525-477D-4633-A5D6-41988ACE38B4}" name="総数／事業所数" totalsRowFunction="custom" totalsRowDxfId="96" dataCellStyle="桁区切り" totalsRowCellStyle="桁区切り">
      <totalsRowFormula>SUM(LTBL_40609[総数／事業所数])</totalsRowFormula>
    </tableColumn>
    <tableColumn id="11" xr3:uid="{E524A3F3-A820-4661-8F2B-D87350390A03}" name="総数／構成比" dataDxfId="95"/>
    <tableColumn id="12" xr3:uid="{B89BF2D2-C0DF-4385-841A-532E106AD869}" name="個人／事業所数" totalsRowFunction="sum" totalsRowDxfId="94" dataCellStyle="桁区切り" totalsRowCellStyle="桁区切り"/>
    <tableColumn id="13" xr3:uid="{3DD1D514-13D1-4F42-AA29-531D653A82AF}" name="個人／構成比" dataDxfId="93"/>
    <tableColumn id="14" xr3:uid="{B6723E2A-8C04-4E98-AB3C-FC3DE0D6B34B}" name="法人／事業所数" totalsRowFunction="sum" totalsRowDxfId="92" dataCellStyle="桁区切り" totalsRowCellStyle="桁区切り"/>
    <tableColumn id="15" xr3:uid="{F00DA57F-1744-4DAD-9421-EC328E060196}" name="法人／構成比" dataDxfId="91"/>
    <tableColumn id="16" xr3:uid="{377BCAB0-C988-4C44-BF61-599085065C62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2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6" xr:uid="{BD580F77-70E4-4D8C-80A5-DC5D8AC8AC2E}" name="M_TABLE_40609" displayName="M_TABLE_40609" ref="B23:I47" totalsRowShown="0">
  <autoFilter ref="B23:I47" xr:uid="{BD580F77-70E4-4D8C-80A5-DC5D8AC8AC2E}"/>
  <tableColumns count="8">
    <tableColumn id="9" xr3:uid="{14B6A2CA-0A4F-4925-855A-6A5034D04921}" name="産業中分類上位２０"/>
    <tableColumn id="10" xr3:uid="{91EA227A-6F2A-47A6-9992-27ED3A7678B7}" name="総数／事業所数" dataCellStyle="桁区切り"/>
    <tableColumn id="11" xr3:uid="{0894E9EE-9FC3-440C-B678-78D0DF05C39F}" name="総数／構成比" dataDxfId="89"/>
    <tableColumn id="12" xr3:uid="{35820EFF-8C82-454C-8C05-CF658A116216}" name="個人／事業所数" dataCellStyle="桁区切り"/>
    <tableColumn id="13" xr3:uid="{246D68B5-19B1-4D68-970E-3C76C55C34DF}" name="個人／構成比" dataDxfId="88"/>
    <tableColumn id="14" xr3:uid="{9453BF99-79A2-4E4C-8C08-8B3522DAD440}" name="法人／事業所数" dataCellStyle="桁区切り"/>
    <tableColumn id="15" xr3:uid="{2DD09726-C388-46BE-9A22-90C15A351062}" name="法人／構成比" dataDxfId="87"/>
    <tableColumn id="16" xr3:uid="{B3F45BFC-06BE-4DB1-9252-56B831DABC35}" name="法人以外の団体／事業所数" dataCellStyle="桁区切り"/>
  </tableColumns>
  <tableStyleInfo name="TableStyleMedium9" showFirstColumn="0" showLastColumn="0" showRowStripes="1" showColumnStripes="0"/>
</table>
</file>

<file path=xl/tables/table2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7" xr:uid="{C16F703F-9C1A-4BA9-A558-495A7D90E32C}" name="S_TABLE_40609" displayName="S_TABLE_40609" ref="B50:I93" totalsRowShown="0">
  <autoFilter ref="B50:I93" xr:uid="{C16F703F-9C1A-4BA9-A558-495A7D90E32C}"/>
  <tableColumns count="8">
    <tableColumn id="9" xr3:uid="{B3E89830-C0E0-4BD6-AE9B-2314DF130855}" name="産業小分類上位２０"/>
    <tableColumn id="10" xr3:uid="{EA0E87B5-A4C7-423A-9D83-F042DE6544BA}" name="総数／事業所数" dataCellStyle="桁区切り"/>
    <tableColumn id="11" xr3:uid="{E4F91BB1-3169-4F27-9BF8-0C8B79993644}" name="総数／構成比" dataDxfId="86"/>
    <tableColumn id="12" xr3:uid="{A097359F-2AC6-493E-929B-59D229E77E60}" name="個人／事業所数" dataCellStyle="桁区切り"/>
    <tableColumn id="13" xr3:uid="{2FA301C5-9354-4134-B371-D97D01CD324B}" name="個人／構成比" dataDxfId="85"/>
    <tableColumn id="14" xr3:uid="{C1621E02-548D-4506-B67F-5AD6B38F5442}" name="法人／事業所数" dataCellStyle="桁区切り"/>
    <tableColumn id="15" xr3:uid="{EC4DCED3-CF86-41E9-9833-A320A8450385}" name="法人／構成比" dataDxfId="84"/>
    <tableColumn id="16" xr3:uid="{1CB68A8F-00A8-4331-AE03-7AE0A9DAAAD0}" name="法人以外の団体／事業所数" dataCellStyle="桁区切り"/>
  </tableColumns>
  <tableStyleInfo name="TableStyleMedium9" showFirstColumn="0" showLastColumn="0" showRowStripes="1" showColumnStripes="0"/>
</table>
</file>

<file path=xl/tables/table2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8" xr:uid="{F54A2546-E853-4901-A549-79E38114C55E}" name="LTBL_40610" displayName="LTBL_40610" ref="B4:I20" totalsRowCount="1">
  <autoFilter ref="B4:I19" xr:uid="{F54A2546-E853-4901-A549-79E38114C55E}"/>
  <tableColumns count="8">
    <tableColumn id="9" xr3:uid="{1A688F1B-9CD9-49C5-9EF9-0070E8D6307C}" name="産業大分類" totalsRowLabel="合計" totalsRowDxfId="83"/>
    <tableColumn id="10" xr3:uid="{652750F5-703B-4EF1-9ED5-C370BD9103B3}" name="総数／事業所数" totalsRowFunction="custom" totalsRowDxfId="82" dataCellStyle="桁区切り" totalsRowCellStyle="桁区切り">
      <totalsRowFormula>SUM(LTBL_40610[総数／事業所数])</totalsRowFormula>
    </tableColumn>
    <tableColumn id="11" xr3:uid="{ABBB352B-4D85-414C-9C91-EE17E70677CD}" name="総数／構成比" dataDxfId="81"/>
    <tableColumn id="12" xr3:uid="{823B748D-683F-4D12-B922-FEFC0DC72101}" name="個人／事業所数" totalsRowFunction="sum" totalsRowDxfId="80" dataCellStyle="桁区切り" totalsRowCellStyle="桁区切り"/>
    <tableColumn id="13" xr3:uid="{3AF44FFB-EAC7-4281-A735-DE62F3632036}" name="個人／構成比" dataDxfId="79"/>
    <tableColumn id="14" xr3:uid="{E972D2D0-98C8-40C4-BB99-2EF23659DCB5}" name="法人／事業所数" totalsRowFunction="sum" totalsRowDxfId="78" dataCellStyle="桁区切り" totalsRowCellStyle="桁区切り"/>
    <tableColumn id="15" xr3:uid="{0AB7F593-1893-4148-AC14-33480902353B}" name="法人／構成比" dataDxfId="77"/>
    <tableColumn id="16" xr3:uid="{66E1182D-FB6F-48B2-9CD3-343E1E3087DD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2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9" xr:uid="{E8747878-6ACD-419D-A895-427B6875404F}" name="M_TABLE_40610" displayName="M_TABLE_40610" ref="B23:I48" totalsRowShown="0">
  <autoFilter ref="B23:I48" xr:uid="{E8747878-6ACD-419D-A895-427B6875404F}"/>
  <tableColumns count="8">
    <tableColumn id="9" xr3:uid="{2D08A1B8-6029-4A47-8286-0B65E395108C}" name="産業中分類上位２０"/>
    <tableColumn id="10" xr3:uid="{201C9066-08A6-4BBD-918D-FD51CF46A9BC}" name="総数／事業所数" dataCellStyle="桁区切り"/>
    <tableColumn id="11" xr3:uid="{3CFFB462-2DD9-49A7-B781-52A62C76EDB4}" name="総数／構成比" dataDxfId="75"/>
    <tableColumn id="12" xr3:uid="{2E59AB0C-1097-4DF4-9F35-7DFF3F6EC010}" name="個人／事業所数" dataCellStyle="桁区切り"/>
    <tableColumn id="13" xr3:uid="{AC4A5A88-4E37-440F-AFFB-EE76BAF1D188}" name="個人／構成比" dataDxfId="74"/>
    <tableColumn id="14" xr3:uid="{A1877254-4026-4E3F-99D8-6EF08231AA0B}" name="法人／事業所数" dataCellStyle="桁区切り"/>
    <tableColumn id="15" xr3:uid="{2085CF89-5A79-4673-8CAF-A970EEDA7B0D}" name="法人／構成比" dataDxfId="73"/>
    <tableColumn id="16" xr3:uid="{99AABB90-221A-4A4F-A35C-08D204737D63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B29FE194-3300-45CA-8B4F-F65A81485A0A}" name="S_TABLE_40107" displayName="S_TABLE_40107" ref="B46:I66" totalsRowShown="0">
  <autoFilter ref="B46:I66" xr:uid="{B29FE194-3300-45CA-8B4F-F65A81485A0A}"/>
  <tableColumns count="8">
    <tableColumn id="9" xr3:uid="{0F9CC99D-4824-42D2-A6D7-B7C579F76774}" name="産業小分類上位２０"/>
    <tableColumn id="10" xr3:uid="{959ABB75-FFDC-4F69-B76C-28573111DB20}" name="総数／事業所数" dataCellStyle="桁区切り"/>
    <tableColumn id="11" xr3:uid="{4A89E4D3-7E7B-4140-AFAA-E7B846ACB1CA}" name="総数／構成比" dataDxfId="954"/>
    <tableColumn id="12" xr3:uid="{ADF66C11-EBFC-4C1E-9A19-4FFCD3394DDF}" name="個人／事業所数" dataCellStyle="桁区切り"/>
    <tableColumn id="13" xr3:uid="{8B2F27AF-4783-4B51-B192-12F43238EB75}" name="個人／構成比" dataDxfId="953"/>
    <tableColumn id="14" xr3:uid="{FD205396-9001-44B8-B6B9-FA0F10D51709}" name="法人／事業所数" dataCellStyle="桁区切り"/>
    <tableColumn id="15" xr3:uid="{277F90DC-2D8F-4400-A39B-DDE8BBA06B66}" name="法人／構成比" dataDxfId="952"/>
    <tableColumn id="16" xr3:uid="{4B6CB62B-515F-4437-9E54-A812C8ADF417}" name="法人以外の団体／事業所数" dataCellStyle="桁区切り"/>
  </tableColumns>
  <tableStyleInfo name="TableStyleMedium9" showFirstColumn="0" showLastColumn="0" showRowStripes="1" showColumnStripes="0"/>
</table>
</file>

<file path=xl/tables/table2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0" xr:uid="{1D9FCA2E-2524-4B9F-9B3E-0286112EDEE8}" name="S_TABLE_40610" displayName="S_TABLE_40610" ref="B51:I76" totalsRowShown="0">
  <autoFilter ref="B51:I76" xr:uid="{1D9FCA2E-2524-4B9F-9B3E-0286112EDEE8}"/>
  <tableColumns count="8">
    <tableColumn id="9" xr3:uid="{4965D43F-EC42-4044-8DF4-579130FFBDB1}" name="産業小分類上位２０"/>
    <tableColumn id="10" xr3:uid="{50DE148F-F041-4601-85AA-897737EB3074}" name="総数／事業所数" dataCellStyle="桁区切り"/>
    <tableColumn id="11" xr3:uid="{CE27098C-50CF-4C97-8BFC-8CEC8128A7B2}" name="総数／構成比" dataDxfId="72"/>
    <tableColumn id="12" xr3:uid="{4CC1FB13-DD8C-430B-A431-D63ED0BCBD95}" name="個人／事業所数" dataCellStyle="桁区切り"/>
    <tableColumn id="13" xr3:uid="{06D58E39-84EC-4D3C-9595-E95F382FE5F1}" name="個人／構成比" dataDxfId="71"/>
    <tableColumn id="14" xr3:uid="{CAC69CB6-AF36-4CED-8FC1-BB76657FF655}" name="法人／事業所数" dataCellStyle="桁区切り"/>
    <tableColumn id="15" xr3:uid="{28318326-5ED3-4CFF-887F-B13F90A6E256}" name="法人／構成比" dataDxfId="70"/>
    <tableColumn id="16" xr3:uid="{156B40AB-0DA5-4E05-9328-68A5DE303703}" name="法人以外の団体／事業所数" dataCellStyle="桁区切り"/>
  </tableColumns>
  <tableStyleInfo name="TableStyleMedium9" showFirstColumn="0" showLastColumn="0" showRowStripes="1" showColumnStripes="0"/>
</table>
</file>

<file path=xl/tables/table2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1" xr:uid="{9360AE7D-6284-4C1B-AFB1-DF909A671735}" name="LTBL_40621" displayName="LTBL_40621" ref="B4:I20" totalsRowCount="1">
  <autoFilter ref="B4:I19" xr:uid="{9360AE7D-6284-4C1B-AFB1-DF909A671735}"/>
  <tableColumns count="8">
    <tableColumn id="9" xr3:uid="{77720DD4-61DF-4EA7-8071-2559C7F7774D}" name="産業大分類" totalsRowLabel="合計" totalsRowDxfId="69"/>
    <tableColumn id="10" xr3:uid="{CF6B19D2-C419-4AF3-B400-01D0CF513A8C}" name="総数／事業所数" totalsRowFunction="custom" totalsRowDxfId="68" dataCellStyle="桁区切り" totalsRowCellStyle="桁区切り">
      <totalsRowFormula>SUM(LTBL_40621[総数／事業所数])</totalsRowFormula>
    </tableColumn>
    <tableColumn id="11" xr3:uid="{CB3BD823-1BAA-4D8B-A4DF-2C98D2A714B0}" name="総数／構成比" dataDxfId="67"/>
    <tableColumn id="12" xr3:uid="{3A1EEED9-0487-4341-BB55-CCD352EB6D3E}" name="個人／事業所数" totalsRowFunction="sum" totalsRowDxfId="66" dataCellStyle="桁区切り" totalsRowCellStyle="桁区切り"/>
    <tableColumn id="13" xr3:uid="{09C5317B-AD0B-4C64-AC0E-0DCA134066B5}" name="個人／構成比" dataDxfId="65"/>
    <tableColumn id="14" xr3:uid="{B9957C43-6FC0-4E12-984E-6D3469F41A5D}" name="法人／事業所数" totalsRowFunction="sum" totalsRowDxfId="64" dataCellStyle="桁区切り" totalsRowCellStyle="桁区切り"/>
    <tableColumn id="15" xr3:uid="{E0B92E4A-3488-4E9B-A72A-CEBDC9B01488}" name="法人／構成比" dataDxfId="63"/>
    <tableColumn id="16" xr3:uid="{505D5753-7743-4DB4-8A17-AF5A7806B0A7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2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2" xr:uid="{D4AE968C-3D4E-44E0-AAB7-9D384217249E}" name="M_TABLE_40621" displayName="M_TABLE_40621" ref="B23:I46" totalsRowShown="0">
  <autoFilter ref="B23:I46" xr:uid="{D4AE968C-3D4E-44E0-AAB7-9D384217249E}"/>
  <tableColumns count="8">
    <tableColumn id="9" xr3:uid="{F4B47D23-A141-45D5-9AA0-1365D6FA293F}" name="産業中分類上位２０"/>
    <tableColumn id="10" xr3:uid="{BB635703-9ABD-40E0-8DFA-C93F7AA206E3}" name="総数／事業所数" dataCellStyle="桁区切り"/>
    <tableColumn id="11" xr3:uid="{87AC6AE4-D67F-4787-8236-240C9DEC05FC}" name="総数／構成比" dataDxfId="61"/>
    <tableColumn id="12" xr3:uid="{70970FD8-1F25-4B3F-94E1-D7052C2EC562}" name="個人／事業所数" dataCellStyle="桁区切り"/>
    <tableColumn id="13" xr3:uid="{61DC5DC0-E310-4C14-BE9C-4EF7C873FE93}" name="個人／構成比" dataDxfId="60"/>
    <tableColumn id="14" xr3:uid="{920AC6F1-A7C9-4FB1-9383-5955E71D0F41}" name="法人／事業所数" dataCellStyle="桁区切り"/>
    <tableColumn id="15" xr3:uid="{6F0DEFCE-85CA-406D-B199-35BF336E10E7}" name="法人／構成比" dataDxfId="59"/>
    <tableColumn id="16" xr3:uid="{8ED5E521-410D-4B35-BF9D-D87402B3831E}" name="法人以外の団体／事業所数" dataCellStyle="桁区切り"/>
  </tableColumns>
  <tableStyleInfo name="TableStyleMedium9" showFirstColumn="0" showLastColumn="0" showRowStripes="1" showColumnStripes="0"/>
</table>
</file>

<file path=xl/tables/table2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3" xr:uid="{883633B6-8FF3-4669-9569-2039B971FA32}" name="S_TABLE_40621" displayName="S_TABLE_40621" ref="B49:I69" totalsRowShown="0">
  <autoFilter ref="B49:I69" xr:uid="{883633B6-8FF3-4669-9569-2039B971FA32}"/>
  <tableColumns count="8">
    <tableColumn id="9" xr3:uid="{FC7AF306-40C4-47FC-9269-04FEC6D21ABD}" name="産業小分類上位２０"/>
    <tableColumn id="10" xr3:uid="{F80AFB09-8C2E-44D6-AE4E-5F34A62C2D6E}" name="総数／事業所数" dataCellStyle="桁区切り"/>
    <tableColumn id="11" xr3:uid="{5A3729BD-D62C-4D45-BB5C-90B9AA426FAC}" name="総数／構成比" dataDxfId="58"/>
    <tableColumn id="12" xr3:uid="{AFE7DC8D-82F0-4F54-A4CE-ED7AD720D358}" name="個人／事業所数" dataCellStyle="桁区切り"/>
    <tableColumn id="13" xr3:uid="{4D4AE342-6539-4CB1-8EE0-7651975317D9}" name="個人／構成比" dataDxfId="57"/>
    <tableColumn id="14" xr3:uid="{D32CCCCA-62EC-4356-BE2F-C45E28B55574}" name="法人／事業所数" dataCellStyle="桁区切り"/>
    <tableColumn id="15" xr3:uid="{8E3742BC-27B3-4564-A96A-BA25301D0DE0}" name="法人／構成比" dataDxfId="56"/>
    <tableColumn id="16" xr3:uid="{9B007B81-9D76-452C-99B4-26BEE0A165E4}" name="法人以外の団体／事業所数" dataCellStyle="桁区切り"/>
  </tableColumns>
  <tableStyleInfo name="TableStyleMedium9" showFirstColumn="0" showLastColumn="0" showRowStripes="1" showColumnStripes="0"/>
</table>
</file>

<file path=xl/tables/table2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4" xr:uid="{E0B66113-AAE9-4265-BEF6-3B044D1CDA18}" name="LTBL_40625" displayName="LTBL_40625" ref="B4:I20" totalsRowCount="1">
  <autoFilter ref="B4:I19" xr:uid="{E0B66113-AAE9-4265-BEF6-3B044D1CDA18}"/>
  <tableColumns count="8">
    <tableColumn id="9" xr3:uid="{ED0742CC-7E69-48BE-898A-53228C6D31AF}" name="産業大分類" totalsRowLabel="合計" totalsRowDxfId="55"/>
    <tableColumn id="10" xr3:uid="{8D603AAE-B0F4-42EA-8568-9C1D5A9C6B12}" name="総数／事業所数" totalsRowFunction="custom" totalsRowDxfId="54" dataCellStyle="桁区切り" totalsRowCellStyle="桁区切り">
      <totalsRowFormula>SUM(LTBL_40625[総数／事業所数])</totalsRowFormula>
    </tableColumn>
    <tableColumn id="11" xr3:uid="{9825ECCA-1BC6-4910-91C5-EE9DFB5549B2}" name="総数／構成比" dataDxfId="53"/>
    <tableColumn id="12" xr3:uid="{20A72BF1-AC0A-4A83-843C-A32645D916F6}" name="個人／事業所数" totalsRowFunction="sum" totalsRowDxfId="52" dataCellStyle="桁区切り" totalsRowCellStyle="桁区切り"/>
    <tableColumn id="13" xr3:uid="{844D2127-8174-4353-A77D-79CDFAE4510B}" name="個人／構成比" dataDxfId="51"/>
    <tableColumn id="14" xr3:uid="{9F7A57AD-F0D5-495A-A973-06E03415A3DB}" name="法人／事業所数" totalsRowFunction="sum" totalsRowDxfId="50" dataCellStyle="桁区切り" totalsRowCellStyle="桁区切り"/>
    <tableColumn id="15" xr3:uid="{81F454FF-AC6A-4A7D-B4EE-DE959B85CB69}" name="法人／構成比" dataDxfId="49"/>
    <tableColumn id="16" xr3:uid="{6D90A719-D40A-468D-AFC5-9E3CBE618822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2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5" xr:uid="{F09DFE48-3539-4AE0-AB40-EA7947B02EA4}" name="M_TABLE_40625" displayName="M_TABLE_40625" ref="B23:I44" totalsRowShown="0">
  <autoFilter ref="B23:I44" xr:uid="{F09DFE48-3539-4AE0-AB40-EA7947B02EA4}"/>
  <tableColumns count="8">
    <tableColumn id="9" xr3:uid="{A3D0343D-DC56-4FEA-8EC1-08E0D3A4F9B6}" name="産業中分類上位２０"/>
    <tableColumn id="10" xr3:uid="{8C59A004-B9A4-48D0-95CC-B5B71F1C6D72}" name="総数／事業所数" dataCellStyle="桁区切り"/>
    <tableColumn id="11" xr3:uid="{5C950D12-2D97-4F9F-AAC7-66C1816CEE5C}" name="総数／構成比" dataDxfId="47"/>
    <tableColumn id="12" xr3:uid="{60F109DB-A0B9-499B-85E9-C9E79D8DAE98}" name="個人／事業所数" dataCellStyle="桁区切り"/>
    <tableColumn id="13" xr3:uid="{082AEC85-4E63-4452-8EE5-81DF6E0B204A}" name="個人／構成比" dataDxfId="46"/>
    <tableColumn id="14" xr3:uid="{084E36A2-C12F-46BA-9186-DCC0BF5E1167}" name="法人／事業所数" dataCellStyle="桁区切り"/>
    <tableColumn id="15" xr3:uid="{838F512B-5812-4827-8250-52CFDADB86C5}" name="法人／構成比" dataDxfId="45"/>
    <tableColumn id="16" xr3:uid="{DC128F2F-E58B-4F51-9B4F-7C1F93BD0CB5}" name="法人以外の団体／事業所数" dataCellStyle="桁区切り"/>
  </tableColumns>
  <tableStyleInfo name="TableStyleMedium9" showFirstColumn="0" showLastColumn="0" showRowStripes="1" showColumnStripes="0"/>
</table>
</file>

<file path=xl/tables/table2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6" xr:uid="{DA5C7EC6-A55B-4169-931D-25D81FE84FC9}" name="S_TABLE_40625" displayName="S_TABLE_40625" ref="B47:I67" totalsRowShown="0">
  <autoFilter ref="B47:I67" xr:uid="{DA5C7EC6-A55B-4169-931D-25D81FE84FC9}"/>
  <tableColumns count="8">
    <tableColumn id="9" xr3:uid="{B73F58DB-1623-4413-AE83-18F678C9223D}" name="産業小分類上位２０"/>
    <tableColumn id="10" xr3:uid="{90D0C9EA-0591-42FF-9F5C-8D91E8320F39}" name="総数／事業所数" dataCellStyle="桁区切り"/>
    <tableColumn id="11" xr3:uid="{91EDB744-C9AC-44CA-84C9-60B942C6F8C2}" name="総数／構成比" dataDxfId="44"/>
    <tableColumn id="12" xr3:uid="{63C87F57-8B60-4804-840A-DF716B6C97A2}" name="個人／事業所数" dataCellStyle="桁区切り"/>
    <tableColumn id="13" xr3:uid="{752089BA-20C3-4B50-8ACD-8DE8AF67FF5F}" name="個人／構成比" dataDxfId="43"/>
    <tableColumn id="14" xr3:uid="{23947D98-19C1-44F3-89E2-33BF6708BA7B}" name="法人／事業所数" dataCellStyle="桁区切り"/>
    <tableColumn id="15" xr3:uid="{0A712315-66B5-4F7B-A3CE-6F29A2B505A6}" name="法人／構成比" dataDxfId="42"/>
    <tableColumn id="16" xr3:uid="{64AE0159-60B5-473C-9464-53E1B2813CD4}" name="法人以外の団体／事業所数" dataCellStyle="桁区切り"/>
  </tableColumns>
  <tableStyleInfo name="TableStyleMedium9" showFirstColumn="0" showLastColumn="0" showRowStripes="1" showColumnStripes="0"/>
</table>
</file>

<file path=xl/tables/table2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7" xr:uid="{00CE8087-9288-4FE7-8A2A-416972FCF8F7}" name="LTBL_40642" displayName="LTBL_40642" ref="B4:I20" totalsRowCount="1">
  <autoFilter ref="B4:I19" xr:uid="{00CE8087-9288-4FE7-8A2A-416972FCF8F7}"/>
  <tableColumns count="8">
    <tableColumn id="9" xr3:uid="{61A0D033-B787-4605-A445-00D2B8EC633F}" name="産業大分類" totalsRowLabel="合計" totalsRowDxfId="41"/>
    <tableColumn id="10" xr3:uid="{7FE1FA3A-D3F5-4D74-BD36-66EF9421FDB0}" name="総数／事業所数" totalsRowFunction="custom" totalsRowDxfId="40" dataCellStyle="桁区切り" totalsRowCellStyle="桁区切り">
      <totalsRowFormula>SUM(LTBL_40642[総数／事業所数])</totalsRowFormula>
    </tableColumn>
    <tableColumn id="11" xr3:uid="{9EC43899-A5BF-4590-9DF5-885E32EDAC22}" name="総数／構成比" dataDxfId="39"/>
    <tableColumn id="12" xr3:uid="{4CCF4ED3-F6BD-4E85-99B3-E13A038A8DDC}" name="個人／事業所数" totalsRowFunction="sum" totalsRowDxfId="38" dataCellStyle="桁区切り" totalsRowCellStyle="桁区切り"/>
    <tableColumn id="13" xr3:uid="{CDC5F877-0E39-49F9-9FCA-62174CC5DC42}" name="個人／構成比" dataDxfId="37"/>
    <tableColumn id="14" xr3:uid="{FED4BCBD-374C-40D2-B0D6-50E0AD7903E7}" name="法人／事業所数" totalsRowFunction="sum" totalsRowDxfId="36" dataCellStyle="桁区切り" totalsRowCellStyle="桁区切り"/>
    <tableColumn id="15" xr3:uid="{85F097A3-3673-414F-BD48-12C3B6911388}" name="法人／構成比" dataDxfId="35"/>
    <tableColumn id="16" xr3:uid="{B5E7C1E7-0ED7-4F97-9A4E-9C2B7A43F1BE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2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8" xr:uid="{5CEC8D6B-BDB1-4DE8-8AF5-0E17085D0789}" name="M_TABLE_40642" displayName="M_TABLE_40642" ref="B23:I54" totalsRowShown="0">
  <autoFilter ref="B23:I54" xr:uid="{5CEC8D6B-BDB1-4DE8-8AF5-0E17085D0789}"/>
  <tableColumns count="8">
    <tableColumn id="9" xr3:uid="{C5D51F43-B046-4FBD-BB5B-26EB22003508}" name="産業中分類上位２０"/>
    <tableColumn id="10" xr3:uid="{6C39F180-EBF6-4119-92AA-2B1DEC10264F}" name="総数／事業所数" dataCellStyle="桁区切り"/>
    <tableColumn id="11" xr3:uid="{616EE008-C7B4-4BA1-8DD7-3FB3A55BEFEA}" name="総数／構成比" dataDxfId="33"/>
    <tableColumn id="12" xr3:uid="{22C2BCC1-71AE-491B-956F-94BE542BE5FD}" name="個人／事業所数" dataCellStyle="桁区切り"/>
    <tableColumn id="13" xr3:uid="{B35AB1DD-172D-498E-8286-402566064896}" name="個人／構成比" dataDxfId="32"/>
    <tableColumn id="14" xr3:uid="{0EB706C1-D5EC-41F9-BAEA-5D152F1D7540}" name="法人／事業所数" dataCellStyle="桁区切り"/>
    <tableColumn id="15" xr3:uid="{7208F622-E422-44DD-93D6-2D045460BF7D}" name="法人／構成比" dataDxfId="31"/>
    <tableColumn id="16" xr3:uid="{418EE3AD-6F2B-46EE-8094-FE6F9685A2AF}" name="法人以外の団体／事業所数" dataCellStyle="桁区切り"/>
  </tableColumns>
  <tableStyleInfo name="TableStyleMedium9" showFirstColumn="0" showLastColumn="0" showRowStripes="1" showColumnStripes="0"/>
</table>
</file>

<file path=xl/tables/table2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9" xr:uid="{65134C27-FE4D-4341-9658-8204BFA0B8C9}" name="S_TABLE_40642" displayName="S_TABLE_40642" ref="B57:I79" totalsRowShown="0">
  <autoFilter ref="B57:I79" xr:uid="{65134C27-FE4D-4341-9658-8204BFA0B8C9}"/>
  <tableColumns count="8">
    <tableColumn id="9" xr3:uid="{F8FC5E02-1605-414A-9621-4EED5576523F}" name="産業小分類上位２０"/>
    <tableColumn id="10" xr3:uid="{E32E26A8-7DD7-495C-B455-FAFE44C28F4C}" name="総数／事業所数" dataCellStyle="桁区切り"/>
    <tableColumn id="11" xr3:uid="{375368F7-77A5-4D1F-BFE2-2D315267E523}" name="総数／構成比" dataDxfId="30"/>
    <tableColumn id="12" xr3:uid="{E5AEB8C0-1725-4829-B3FA-03153185003C}" name="個人／事業所数" dataCellStyle="桁区切り"/>
    <tableColumn id="13" xr3:uid="{FA9D9270-350D-4C06-9EA3-448D4D432972}" name="個人／構成比" dataDxfId="29"/>
    <tableColumn id="14" xr3:uid="{9340D3B0-8F14-4E06-9389-4D5B158D6CAB}" name="法人／事業所数" dataCellStyle="桁区切り"/>
    <tableColumn id="15" xr3:uid="{53B655C2-FD9F-46F7-B852-1E89CE9109AD}" name="法人／構成比" dataDxfId="28"/>
    <tableColumn id="16" xr3:uid="{B70BDA48-24B2-4350-8DD4-779EFB209327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61DFDDF2-BB86-49D9-89E0-4C6A2B8348ED}" name="LTBL_40108" displayName="LTBL_40108" ref="B4:I20" totalsRowCount="1">
  <autoFilter ref="B4:I19" xr:uid="{61DFDDF2-BB86-49D9-89E0-4C6A2B8348ED}"/>
  <tableColumns count="8">
    <tableColumn id="9" xr3:uid="{BC914F1E-50C3-4DD7-8922-DC8956B27340}" name="産業大分類" totalsRowLabel="合計" totalsRowDxfId="951"/>
    <tableColumn id="10" xr3:uid="{9264DF45-43DE-479D-9229-D6FC51CD1207}" name="総数／事業所数" totalsRowFunction="custom" totalsRowDxfId="950" dataCellStyle="桁区切り" totalsRowCellStyle="桁区切り">
      <totalsRowFormula>SUM(LTBL_40108[総数／事業所数])</totalsRowFormula>
    </tableColumn>
    <tableColumn id="11" xr3:uid="{15DD3684-82B4-41EC-A395-88EF106AE77B}" name="総数／構成比" dataDxfId="949"/>
    <tableColumn id="12" xr3:uid="{4D203DEB-946B-4C94-BEEB-BBF25AE22D78}" name="個人／事業所数" totalsRowFunction="sum" totalsRowDxfId="948" dataCellStyle="桁区切り" totalsRowCellStyle="桁区切り"/>
    <tableColumn id="13" xr3:uid="{5DB191FA-94CB-4442-8D31-394DCA1C3754}" name="個人／構成比" dataDxfId="947"/>
    <tableColumn id="14" xr3:uid="{E86F4F04-81A4-4E3F-8B39-CABB28071E5B}" name="法人／事業所数" totalsRowFunction="sum" totalsRowDxfId="946" dataCellStyle="桁区切り" totalsRowCellStyle="桁区切り"/>
    <tableColumn id="15" xr3:uid="{CF12A024-EF46-4D19-8EA6-BC65E3749FE9}" name="法人／構成比" dataDxfId="945"/>
    <tableColumn id="16" xr3:uid="{121E6186-EBD4-47AD-8A8C-9F736BF498CA}" name="法人以外の団体／事業所数" totalsRowFunction="sum" totalsRowDxfId="944" dataCellStyle="桁区切り" totalsRowCellStyle="桁区切り"/>
  </tableColumns>
  <tableStyleInfo name="TableStyleMedium9" showFirstColumn="0" showLastColumn="0" showRowStripes="1" showColumnStripes="0"/>
</table>
</file>

<file path=xl/tables/table2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0" xr:uid="{E76EA7C1-F094-40EF-AF05-B5E122A7DDA8}" name="LTBL_40646" displayName="LTBL_40646" ref="B4:I20" totalsRowCount="1">
  <autoFilter ref="B4:I19" xr:uid="{E76EA7C1-F094-40EF-AF05-B5E122A7DDA8}"/>
  <tableColumns count="8">
    <tableColumn id="9" xr3:uid="{37D722E6-8C31-4664-9393-EA689DA620AB}" name="産業大分類" totalsRowLabel="合計" totalsRowDxfId="27"/>
    <tableColumn id="10" xr3:uid="{8C8F1A74-58BC-457C-8447-92BAB92736A4}" name="総数／事業所数" totalsRowFunction="custom" totalsRowDxfId="26" dataCellStyle="桁区切り" totalsRowCellStyle="桁区切り">
      <totalsRowFormula>SUM(LTBL_40646[総数／事業所数])</totalsRowFormula>
    </tableColumn>
    <tableColumn id="11" xr3:uid="{DA8A2431-C0B9-4D61-9FEB-5FD442E23F92}" name="総数／構成比" dataDxfId="25"/>
    <tableColumn id="12" xr3:uid="{C05AD9FB-1449-424A-BB1F-AD359F15CF91}" name="個人／事業所数" totalsRowFunction="sum" totalsRowDxfId="24" dataCellStyle="桁区切り" totalsRowCellStyle="桁区切り"/>
    <tableColumn id="13" xr3:uid="{96E6AF94-E07A-4071-AFDC-FDFC1B34A457}" name="個人／構成比" dataDxfId="23"/>
    <tableColumn id="14" xr3:uid="{4EC23FF9-CB0D-45BE-8228-63201659EB01}" name="法人／事業所数" totalsRowFunction="sum" totalsRowDxfId="22" dataCellStyle="桁区切り" totalsRowCellStyle="桁区切り"/>
    <tableColumn id="15" xr3:uid="{152887D5-B959-49BE-8B4A-4C02926DDDF3}" name="法人／構成比" dataDxfId="21"/>
    <tableColumn id="16" xr3:uid="{5F8FC265-E0E0-441A-8E2F-61F9DA187F92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2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1" xr:uid="{03B06DD0-58F8-43DE-8A48-48C6EE3AA0C3}" name="M_TABLE_40646" displayName="M_TABLE_40646" ref="B23:I54" totalsRowShown="0">
  <autoFilter ref="B23:I54" xr:uid="{03B06DD0-58F8-43DE-8A48-48C6EE3AA0C3}"/>
  <tableColumns count="8">
    <tableColumn id="9" xr3:uid="{CAFB1D07-0857-4CC0-8CBC-673B71572B28}" name="産業中分類上位２０"/>
    <tableColumn id="10" xr3:uid="{2B1DDC2D-AB35-40BE-9682-1A32DBD1C5D6}" name="総数／事業所数" dataCellStyle="桁区切り"/>
    <tableColumn id="11" xr3:uid="{5A6EAA1C-2C38-4ADF-AC18-060862E42741}" name="総数／構成比" dataDxfId="19"/>
    <tableColumn id="12" xr3:uid="{97D744B8-83C8-4A20-9165-BDB398BB7273}" name="個人／事業所数" dataCellStyle="桁区切り"/>
    <tableColumn id="13" xr3:uid="{B65680D7-A72D-4914-81A6-0EFC03B1F0B3}" name="個人／構成比" dataDxfId="18"/>
    <tableColumn id="14" xr3:uid="{9CE80B11-1EA1-4354-BE09-E02DC384D83B}" name="法人／事業所数" dataCellStyle="桁区切り"/>
    <tableColumn id="15" xr3:uid="{6628D220-A901-43CF-BF1F-D702B38674F5}" name="法人／構成比" dataDxfId="17"/>
    <tableColumn id="16" xr3:uid="{AB5B3191-C5D4-4E33-8B1D-BC3A7D2B7E04}" name="法人以外の団体／事業所数" dataCellStyle="桁区切り"/>
  </tableColumns>
  <tableStyleInfo name="TableStyleMedium9" showFirstColumn="0" showLastColumn="0" showRowStripes="1" showColumnStripes="0"/>
</table>
</file>

<file path=xl/tables/table2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2" xr:uid="{A1E30A1E-173C-47AC-9AAB-9A69250B0E5D}" name="S_TABLE_40646" displayName="S_TABLE_40646" ref="B57:I79" totalsRowShown="0">
  <autoFilter ref="B57:I79" xr:uid="{A1E30A1E-173C-47AC-9AAB-9A69250B0E5D}"/>
  <tableColumns count="8">
    <tableColumn id="9" xr3:uid="{D9A28D84-79A8-488D-BFCA-1D0AFC8DA3B1}" name="産業小分類上位２０"/>
    <tableColumn id="10" xr3:uid="{02DE2EF8-4EBC-4520-95D8-6F036280FD09}" name="総数／事業所数" dataCellStyle="桁区切り"/>
    <tableColumn id="11" xr3:uid="{229201F7-2E81-48D2-ACEC-18A938517DA6}" name="総数／構成比" dataDxfId="16"/>
    <tableColumn id="12" xr3:uid="{89DCD05E-013C-46BF-9D12-3D5E02007726}" name="個人／事業所数" dataCellStyle="桁区切り"/>
    <tableColumn id="13" xr3:uid="{E2977A8B-5494-44E7-8BBF-1D1627D3B0A3}" name="個人／構成比" dataDxfId="15"/>
    <tableColumn id="14" xr3:uid="{CC84C433-50CB-4009-992D-03A8E41ABFFA}" name="法人／事業所数" dataCellStyle="桁区切り"/>
    <tableColumn id="15" xr3:uid="{D81FE5A3-4F17-4AC2-9AD9-FD6C15936CDF}" name="法人／構成比" dataDxfId="14"/>
    <tableColumn id="16" xr3:uid="{56679BFE-B179-440A-9E5A-38D06E755C7C}" name="法人以外の団体／事業所数" dataCellStyle="桁区切り"/>
  </tableColumns>
  <tableStyleInfo name="TableStyleMedium9" showFirstColumn="0" showLastColumn="0" showRowStripes="1" showColumnStripes="0"/>
</table>
</file>

<file path=xl/tables/table2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3" xr:uid="{1D3DEB0F-A679-465C-B851-B4C8B829B994}" name="LTBL_40647" displayName="LTBL_40647" ref="B4:I20" totalsRowCount="1">
  <autoFilter ref="B4:I19" xr:uid="{1D3DEB0F-A679-465C-B851-B4C8B829B994}"/>
  <tableColumns count="8">
    <tableColumn id="9" xr3:uid="{25423BBE-34BC-4EEB-9B42-595FDBCE8907}" name="産業大分類" totalsRowLabel="合計" totalsRowDxfId="13"/>
    <tableColumn id="10" xr3:uid="{18207F9C-161A-4B2A-86B1-89C5608E46C1}" name="総数／事業所数" totalsRowFunction="custom" totalsRowDxfId="12" dataCellStyle="桁区切り" totalsRowCellStyle="桁区切り">
      <totalsRowFormula>SUM(LTBL_40647[総数／事業所数])</totalsRowFormula>
    </tableColumn>
    <tableColumn id="11" xr3:uid="{4892EF11-1F7B-4769-AB89-6042E300F8E4}" name="総数／構成比" dataDxfId="11"/>
    <tableColumn id="12" xr3:uid="{C5AF4835-2169-429A-832E-2D09170167DD}" name="個人／事業所数" totalsRowFunction="sum" totalsRowDxfId="10" dataCellStyle="桁区切り" totalsRowCellStyle="桁区切り"/>
    <tableColumn id="13" xr3:uid="{599061FF-3206-435F-98DC-B9D82C4348F5}" name="個人／構成比" dataDxfId="9"/>
    <tableColumn id="14" xr3:uid="{D7246030-9D20-486F-8560-5775F6209E8A}" name="法人／事業所数" totalsRowFunction="sum" totalsRowDxfId="8" dataCellStyle="桁区切り" totalsRowCellStyle="桁区切り"/>
    <tableColumn id="15" xr3:uid="{E03AC1D3-9E0B-4A4B-A0DA-80B168AEBE41}" name="法人／構成比" dataDxfId="7"/>
    <tableColumn id="16" xr3:uid="{9F552DEE-B42F-4925-91D3-F16FDB01C888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2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4" xr:uid="{F4D03642-9D0B-463B-93DE-A3F5FFBB22C7}" name="M_TABLE_40647" displayName="M_TABLE_40647" ref="B23:I49" totalsRowShown="0">
  <autoFilter ref="B23:I49" xr:uid="{F4D03642-9D0B-463B-93DE-A3F5FFBB22C7}"/>
  <tableColumns count="8">
    <tableColumn id="9" xr3:uid="{9A987350-0234-4F84-A119-ACA4CF0C8878}" name="産業中分類上位２０"/>
    <tableColumn id="10" xr3:uid="{D91418CD-A423-42D7-881B-ECA238DB568B}" name="総数／事業所数" dataCellStyle="桁区切り"/>
    <tableColumn id="11" xr3:uid="{54DF2A0D-E593-4574-91E8-529D7E6C5148}" name="総数／構成比" dataDxfId="5"/>
    <tableColumn id="12" xr3:uid="{54447BCC-29A7-42DE-9484-031BC84D2DBD}" name="個人／事業所数" dataCellStyle="桁区切り"/>
    <tableColumn id="13" xr3:uid="{4AC91571-8AF1-458F-99FC-FD422DC54478}" name="個人／構成比" dataDxfId="4"/>
    <tableColumn id="14" xr3:uid="{1176B984-9DE6-465B-B602-93BBB0BD3357}" name="法人／事業所数" dataCellStyle="桁区切り"/>
    <tableColumn id="15" xr3:uid="{C8BA73AA-9BCE-486C-9109-898FF324110F}" name="法人／構成比" dataDxfId="3"/>
    <tableColumn id="16" xr3:uid="{37A0EC68-BB34-44A2-9AFA-563F374C6C09}" name="法人以外の団体／事業所数" dataCellStyle="桁区切り"/>
  </tableColumns>
  <tableStyleInfo name="TableStyleMedium9" showFirstColumn="0" showLastColumn="0" showRowStripes="1" showColumnStripes="0"/>
</table>
</file>

<file path=xl/tables/table2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5" xr:uid="{530E214B-DE19-42A3-8CD1-BE742BDD8E1B}" name="S_TABLE_40647" displayName="S_TABLE_40647" ref="B52:I77" totalsRowShown="0">
  <autoFilter ref="B52:I77" xr:uid="{530E214B-DE19-42A3-8CD1-BE742BDD8E1B}"/>
  <tableColumns count="8">
    <tableColumn id="9" xr3:uid="{ED1EA1AF-B1C7-41A1-9979-60045A11BD5D}" name="産業小分類上位２０"/>
    <tableColumn id="10" xr3:uid="{C06FB6A5-FFE1-4407-BF11-06BD24B5B6C7}" name="総数／事業所数" dataCellStyle="桁区切り"/>
    <tableColumn id="11" xr3:uid="{DFF25F1F-EED3-495C-A578-DA27CAF9718F}" name="総数／構成比" dataDxfId="2"/>
    <tableColumn id="12" xr3:uid="{49239F55-F8EE-4D9E-940A-2552E44BB97D}" name="個人／事業所数" dataCellStyle="桁区切り"/>
    <tableColumn id="13" xr3:uid="{0D9C6848-124A-499F-9673-0DD2EAC1267B}" name="個人／構成比" dataDxfId="1"/>
    <tableColumn id="14" xr3:uid="{A2321983-84D1-4F54-87B8-74CC2257B4EE}" name="法人／事業所数" dataCellStyle="桁区切り"/>
    <tableColumn id="15" xr3:uid="{0257F320-09D0-42E9-80D1-E29E4E6DE7C6}" name="法人／構成比" dataDxfId="0"/>
    <tableColumn id="16" xr3:uid="{D4E3D43D-BEDD-48C7-B46C-BF38A25BE894}" name="法人以外の団体／事業所数" data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B7CCEBC-0906-4AD0-8F57-E12FFA0B5D91}" name="M_TABLE_40108" displayName="M_TABLE_40108" ref="B23:I43" totalsRowShown="0">
  <autoFilter ref="B23:I43" xr:uid="{0B7CCEBC-0906-4AD0-8F57-E12FFA0B5D91}"/>
  <tableColumns count="8">
    <tableColumn id="9" xr3:uid="{3C5798E4-1DCA-4BBA-AA1D-26D6ABFBC9D1}" name="産業中分類上位２０"/>
    <tableColumn id="10" xr3:uid="{8948A196-E3E7-41B0-A99B-DC5260D86483}" name="総数／事業所数" dataCellStyle="桁区切り"/>
    <tableColumn id="11" xr3:uid="{DBB76033-3FD3-47EA-B78F-E1CB5B962BAD}" name="総数／構成比" dataDxfId="943"/>
    <tableColumn id="12" xr3:uid="{46D3C033-C276-4E84-90FD-1F14E954519F}" name="個人／事業所数" dataCellStyle="桁区切り"/>
    <tableColumn id="13" xr3:uid="{ABECB182-3650-41B7-AEA2-D152B54C1AC1}" name="個人／構成比" dataDxfId="942"/>
    <tableColumn id="14" xr3:uid="{F8E5F177-32AB-4A0A-8D92-6B5D1043C17F}" name="法人／事業所数" dataCellStyle="桁区切り"/>
    <tableColumn id="15" xr3:uid="{CF3C13ED-1C43-4A00-A2D3-A8A3D2450918}" name="法人／構成比" dataDxfId="941"/>
    <tableColumn id="16" xr3:uid="{0B1A3869-A3F9-4DD1-8149-CC0D1D5EACB9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D3516EBC-9D20-43D9-8419-8738991D1CA4}" name="S_TABLE_40108" displayName="S_TABLE_40108" ref="B46:I67" totalsRowShown="0">
  <autoFilter ref="B46:I67" xr:uid="{D3516EBC-9D20-43D9-8419-8738991D1CA4}"/>
  <tableColumns count="8">
    <tableColumn id="9" xr3:uid="{658BEB48-FE76-4273-90C2-E0C056590C71}" name="産業小分類上位２０"/>
    <tableColumn id="10" xr3:uid="{2473780A-C1E0-44E5-84E9-20A448892946}" name="総数／事業所数" dataCellStyle="桁区切り"/>
    <tableColumn id="11" xr3:uid="{98DDC5EE-1AA4-496A-8753-0EDD2104BC78}" name="総数／構成比" dataDxfId="940"/>
    <tableColumn id="12" xr3:uid="{58639561-C0C9-439C-AA64-7FF139F5AA6B}" name="個人／事業所数" dataCellStyle="桁区切り"/>
    <tableColumn id="13" xr3:uid="{9DD3D56B-8794-43B5-AC73-FFBB80BCDA5A}" name="個人／構成比" dataDxfId="939"/>
    <tableColumn id="14" xr3:uid="{EA1CF37D-9BA8-4086-A1D1-073110BD5BB9}" name="法人／事業所数" dataCellStyle="桁区切り"/>
    <tableColumn id="15" xr3:uid="{7D85C14F-257B-48F2-802E-B382B2253F3D}" name="法人／構成比" dataDxfId="938"/>
    <tableColumn id="16" xr3:uid="{576D864B-A7F2-40BA-98EC-2EF15E975FBD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D8BF56E5-EFD7-4A7E-B7EE-D8CA18D79950}" name="LTBL_40109" displayName="LTBL_40109" ref="B4:I20" totalsRowCount="1">
  <autoFilter ref="B4:I19" xr:uid="{D8BF56E5-EFD7-4A7E-B7EE-D8CA18D79950}"/>
  <tableColumns count="8">
    <tableColumn id="9" xr3:uid="{E60CD983-CEDD-4977-A651-354DAA05E904}" name="産業大分類" totalsRowLabel="合計" totalsRowDxfId="937"/>
    <tableColumn id="10" xr3:uid="{F6009ECF-9CA8-49E1-8D8A-87C66FFB87D1}" name="総数／事業所数" totalsRowFunction="custom" totalsRowDxfId="936" dataCellStyle="桁区切り" totalsRowCellStyle="桁区切り">
      <totalsRowFormula>SUM(LTBL_40109[総数／事業所数])</totalsRowFormula>
    </tableColumn>
    <tableColumn id="11" xr3:uid="{F6531891-3FF7-4D51-B937-371A89042B21}" name="総数／構成比" dataDxfId="935"/>
    <tableColumn id="12" xr3:uid="{7115ABCD-37AC-4CC0-B03E-855D2D83BA11}" name="個人／事業所数" totalsRowFunction="sum" totalsRowDxfId="934" dataCellStyle="桁区切り" totalsRowCellStyle="桁区切り"/>
    <tableColumn id="13" xr3:uid="{C2B5257D-30EB-40B4-96A4-CF398BEC86DA}" name="個人／構成比" dataDxfId="933"/>
    <tableColumn id="14" xr3:uid="{807DEBE5-9E9C-4F86-B0DA-D1A719629141}" name="法人／事業所数" totalsRowFunction="sum" totalsRowDxfId="932" dataCellStyle="桁区切り" totalsRowCellStyle="桁区切り"/>
    <tableColumn id="15" xr3:uid="{28DDC6AC-17CD-46F2-BBCC-D140D9666E0D}" name="法人／構成比" dataDxfId="931"/>
    <tableColumn id="16" xr3:uid="{3CEF2739-A251-467B-9733-AE5CDD4B400F}" name="法人以外の団体／事業所数" totalsRowFunction="sum" totalsRowDxfId="930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7115FDC1-7C98-4921-A5BF-2D5338E655F8}" name="M_TABLE_40109" displayName="M_TABLE_40109" ref="B23:I43" totalsRowShown="0">
  <autoFilter ref="B23:I43" xr:uid="{7115FDC1-7C98-4921-A5BF-2D5338E655F8}"/>
  <tableColumns count="8">
    <tableColumn id="9" xr3:uid="{824F0D51-8775-4C97-B0F4-8452F988D596}" name="産業中分類上位２０"/>
    <tableColumn id="10" xr3:uid="{E7FD62DF-342F-4EA0-B75C-DD3E0095DEFE}" name="総数／事業所数" dataCellStyle="桁区切り"/>
    <tableColumn id="11" xr3:uid="{39530A05-E174-473A-BADF-56B2E98667A5}" name="総数／構成比" dataDxfId="929"/>
    <tableColumn id="12" xr3:uid="{6405646D-BFAB-4CBF-927F-C9560C677A53}" name="個人／事業所数" dataCellStyle="桁区切り"/>
    <tableColumn id="13" xr3:uid="{66691B81-B5DB-4141-931C-5D8D2F6F9625}" name="個人／構成比" dataDxfId="928"/>
    <tableColumn id="14" xr3:uid="{37617AD0-233A-47E2-9322-7C2EB15E0FA3}" name="法人／事業所数" dataCellStyle="桁区切り"/>
    <tableColumn id="15" xr3:uid="{18470002-5FF6-4B30-80B3-E3516B1C3AAC}" name="法人／構成比" dataDxfId="927"/>
    <tableColumn id="16" xr3:uid="{D1E79D45-FA6D-4742-9183-6C7A886844E5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39F2A41E-9EA3-4BF9-9DF8-6EF7C8559F3D}" name="S_TABLE_40109" displayName="S_TABLE_40109" ref="B46:I66" totalsRowShown="0">
  <autoFilter ref="B46:I66" xr:uid="{39F2A41E-9EA3-4BF9-9DF8-6EF7C8559F3D}"/>
  <tableColumns count="8">
    <tableColumn id="9" xr3:uid="{F0A7F338-27A8-4F34-8EFA-F171439BF06F}" name="産業小分類上位２０"/>
    <tableColumn id="10" xr3:uid="{040758AA-2874-4F88-8B1D-76B65357D078}" name="総数／事業所数" dataCellStyle="桁区切り"/>
    <tableColumn id="11" xr3:uid="{5C7AC015-A0F9-4D7E-B127-1550D2D223BA}" name="総数／構成比" dataDxfId="926"/>
    <tableColumn id="12" xr3:uid="{2FB3EEB1-EF7B-4C00-9B70-BD68446024CE}" name="個人／事業所数" dataCellStyle="桁区切り"/>
    <tableColumn id="13" xr3:uid="{BA47CDA2-863F-419E-946D-681C26986D37}" name="個人／構成比" dataDxfId="925"/>
    <tableColumn id="14" xr3:uid="{83840AB3-5925-4113-AAF4-CAAF24E3522C}" name="法人／事業所数" dataCellStyle="桁区切り"/>
    <tableColumn id="15" xr3:uid="{E659B59B-CB37-4711-9238-BF8CE00BD151}" name="法人／構成比" dataDxfId="924"/>
    <tableColumn id="16" xr3:uid="{A0A2E544-EA45-4B34-8BE7-9B715431C2E0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17B78E91-6F56-4670-A05A-5543DE170C73}" name="LTBL_40130" displayName="LTBL_40130" ref="B4:I20" totalsRowCount="1">
  <autoFilter ref="B4:I19" xr:uid="{17B78E91-6F56-4670-A05A-5543DE170C73}"/>
  <tableColumns count="8">
    <tableColumn id="9" xr3:uid="{9388CF91-D830-4C38-BBB1-D5B8A8BA0C37}" name="産業大分類" totalsRowLabel="合計" totalsRowDxfId="923"/>
    <tableColumn id="10" xr3:uid="{1957B95A-C4B9-4AA5-8F48-80CBFECB3E1C}" name="総数／事業所数" totalsRowFunction="custom" totalsRowDxfId="922" dataCellStyle="桁区切り" totalsRowCellStyle="桁区切り">
      <totalsRowFormula>SUM(LTBL_40130[総数／事業所数])</totalsRowFormula>
    </tableColumn>
    <tableColumn id="11" xr3:uid="{A1A6AB76-B752-4107-AE6A-6858592F5529}" name="総数／構成比" dataDxfId="921"/>
    <tableColumn id="12" xr3:uid="{D55248B0-C018-4D44-A93A-FAD86046447D}" name="個人／事業所数" totalsRowFunction="sum" totalsRowDxfId="920" dataCellStyle="桁区切り" totalsRowCellStyle="桁区切り"/>
    <tableColumn id="13" xr3:uid="{0C47B32D-DE7F-48E6-8B80-C596F54C171B}" name="個人／構成比" dataDxfId="919"/>
    <tableColumn id="14" xr3:uid="{1A0607D9-7A69-4E45-BC39-BD12E4710806}" name="法人／事業所数" totalsRowFunction="sum" totalsRowDxfId="918" dataCellStyle="桁区切り" totalsRowCellStyle="桁区切り"/>
    <tableColumn id="15" xr3:uid="{C939A1FE-CA3A-43D5-8082-2A24226B42E7}" name="法人／構成比" dataDxfId="917"/>
    <tableColumn id="16" xr3:uid="{EE298EEE-D681-4DF6-991F-AADF000B8D8A}" name="法人以外の団体／事業所数" totalsRowFunction="sum" totalsRowDxfId="916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3194FF3B-AE54-4E48-9BB9-29C60286C9BC}" name="M_TABLE_40130" displayName="M_TABLE_40130" ref="B23:I43" totalsRowShown="0">
  <autoFilter ref="B23:I43" xr:uid="{3194FF3B-AE54-4E48-9BB9-29C60286C9BC}"/>
  <tableColumns count="8">
    <tableColumn id="9" xr3:uid="{17387E1A-F988-4A38-9CF5-E236F7306230}" name="産業中分類上位２０"/>
    <tableColumn id="10" xr3:uid="{1DA735E0-F4E8-44B1-9553-809AB3DE8087}" name="総数／事業所数" dataCellStyle="桁区切り"/>
    <tableColumn id="11" xr3:uid="{9667C617-E40E-4030-8690-EEBEB856BDD3}" name="総数／構成比" dataDxfId="915"/>
    <tableColumn id="12" xr3:uid="{31C510AC-0CD2-4DFD-8F3C-A6F4070BF789}" name="個人／事業所数" dataCellStyle="桁区切り"/>
    <tableColumn id="13" xr3:uid="{2037C6FC-219B-4539-ACE2-B7C3AAD4E8EA}" name="個人／構成比" dataDxfId="914"/>
    <tableColumn id="14" xr3:uid="{BAD692BF-B69B-4CEC-9BD0-403847E41DBE}" name="法人／事業所数" dataCellStyle="桁区切り"/>
    <tableColumn id="15" xr3:uid="{1AAF9D44-9D55-459A-ADAA-9B3602751A81}" name="法人／構成比" dataDxfId="913"/>
    <tableColumn id="16" xr3:uid="{B3CE6A7A-8DF7-4D1B-9B35-F47C411FB843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C181F71-97F5-4F34-8AFA-D90B3A531E9F}" name="S_TABLE_40000" displayName="S_TABLE_40000" ref="B46:I66" totalsRowShown="0">
  <autoFilter ref="B46:I66" xr:uid="{8C181F71-97F5-4F34-8AFA-D90B3A531E9F}"/>
  <tableColumns count="8">
    <tableColumn id="9" xr3:uid="{C6DD1166-2208-40E5-B204-7B20F351C8AF}" name="産業小分類上位２０"/>
    <tableColumn id="10" xr3:uid="{F5A817C8-2C6C-4D4C-B4BE-FF1E8F3A429E}" name="総数／事業所数" dataCellStyle="桁区切り"/>
    <tableColumn id="11" xr3:uid="{CA52F0BB-E72C-4CAE-97A8-236BEB610C3E}" name="総数／構成比" dataDxfId="1038"/>
    <tableColumn id="12" xr3:uid="{6B076727-7581-4233-B561-234AAA085077}" name="個人／事業所数" dataCellStyle="桁区切り"/>
    <tableColumn id="13" xr3:uid="{9A19B602-5426-43FD-A39F-376627F03146}" name="個人／構成比" dataDxfId="1037"/>
    <tableColumn id="14" xr3:uid="{D907D618-3D14-45E9-AC5B-6D84F131683E}" name="法人／事業所数" dataCellStyle="桁区切り"/>
    <tableColumn id="15" xr3:uid="{62A3769C-453B-4856-9E9C-365E4634884F}" name="法人／構成比" dataDxfId="1036"/>
    <tableColumn id="16" xr3:uid="{B839FF72-9DB3-4ED2-9A14-35057808150D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EE53D022-E7F1-4BB7-B83A-90C20CC39B07}" name="S_TABLE_40130" displayName="S_TABLE_40130" ref="B46:I66" totalsRowShown="0">
  <autoFilter ref="B46:I66" xr:uid="{EE53D022-E7F1-4BB7-B83A-90C20CC39B07}"/>
  <tableColumns count="8">
    <tableColumn id="9" xr3:uid="{8759EBD0-43B9-4A30-AF81-29DBEA92C314}" name="産業小分類上位２０"/>
    <tableColumn id="10" xr3:uid="{D2B7375D-4DF2-4B65-9F99-D207AC732C74}" name="総数／事業所数" dataCellStyle="桁区切り"/>
    <tableColumn id="11" xr3:uid="{530CF1B7-1A23-4205-BBCB-B1963AC8FAEF}" name="総数／構成比" dataDxfId="912"/>
    <tableColumn id="12" xr3:uid="{AD4CA6E8-1BB4-4A9E-8404-B35EDDD52110}" name="個人／事業所数" dataCellStyle="桁区切り"/>
    <tableColumn id="13" xr3:uid="{7BE3BA66-112D-49E0-8E7A-C2E58B48F431}" name="個人／構成比" dataDxfId="911"/>
    <tableColumn id="14" xr3:uid="{DF8103C3-7163-4FE4-A06A-40D0D25EBAC3}" name="法人／事業所数" dataCellStyle="桁区切り"/>
    <tableColumn id="15" xr3:uid="{C5BFF7A4-4F08-4770-B29D-9FA2318E0AF2}" name="法人／構成比" dataDxfId="910"/>
    <tableColumn id="16" xr3:uid="{742C762E-40F9-40E5-9210-80F325CE5253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DB8EF6C7-5DD0-4373-9B27-318567FABE19}" name="LTBL_40131" displayName="LTBL_40131" ref="B4:I20" totalsRowCount="1">
  <autoFilter ref="B4:I19" xr:uid="{DB8EF6C7-5DD0-4373-9B27-318567FABE19}"/>
  <tableColumns count="8">
    <tableColumn id="9" xr3:uid="{9E0CB91C-9512-4D67-8027-5D2254A6630D}" name="産業大分類" totalsRowLabel="合計" totalsRowDxfId="909"/>
    <tableColumn id="10" xr3:uid="{154CE582-8FD2-45C2-A1B2-0580080E67D6}" name="総数／事業所数" totalsRowFunction="custom" totalsRowDxfId="908" dataCellStyle="桁区切り" totalsRowCellStyle="桁区切り">
      <totalsRowFormula>SUM(LTBL_40131[総数／事業所数])</totalsRowFormula>
    </tableColumn>
    <tableColumn id="11" xr3:uid="{552D1AC7-3D5D-423A-932F-FD2FEB3C92BC}" name="総数／構成比" dataDxfId="907"/>
    <tableColumn id="12" xr3:uid="{6C84BC9A-DEA9-488E-8BEA-B9A035245A79}" name="個人／事業所数" totalsRowFunction="sum" totalsRowDxfId="906" dataCellStyle="桁区切り" totalsRowCellStyle="桁区切り"/>
    <tableColumn id="13" xr3:uid="{06B8BA85-D74C-4E6C-AFD4-8F8A3C7561DD}" name="個人／構成比" dataDxfId="905"/>
    <tableColumn id="14" xr3:uid="{88559C8E-D10F-4CD3-A445-11575F5C220D}" name="法人／事業所数" totalsRowFunction="sum" totalsRowDxfId="904" dataCellStyle="桁区切り" totalsRowCellStyle="桁区切り"/>
    <tableColumn id="15" xr3:uid="{0FDED55C-2A56-4E81-BF37-A46C3B4483D3}" name="法人／構成比" dataDxfId="903"/>
    <tableColumn id="16" xr3:uid="{B885136E-DF25-4488-A41C-22D18DB11AA4}" name="法人以外の団体／事業所数" totalsRowFunction="sum" totalsRowDxfId="902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B3DFB72E-D06A-4748-9D33-5E5B13A85F5F}" name="M_TABLE_40131" displayName="M_TABLE_40131" ref="B23:I43" totalsRowShown="0">
  <autoFilter ref="B23:I43" xr:uid="{B3DFB72E-D06A-4748-9D33-5E5B13A85F5F}"/>
  <tableColumns count="8">
    <tableColumn id="9" xr3:uid="{9F82F8C7-872B-417C-9D8C-34B49EAE3A7D}" name="産業中分類上位２０"/>
    <tableColumn id="10" xr3:uid="{075D5CA2-C7C1-49EA-A8E5-41DB1CC8F2D6}" name="総数／事業所数" dataCellStyle="桁区切り"/>
    <tableColumn id="11" xr3:uid="{01E3B6DF-E17D-4B92-A23E-9E5FE6EDFADA}" name="総数／構成比" dataDxfId="901"/>
    <tableColumn id="12" xr3:uid="{E1097BFA-7F56-48ED-AE64-6C5F69C7924D}" name="個人／事業所数" dataCellStyle="桁区切り"/>
    <tableColumn id="13" xr3:uid="{1A573F09-2DA4-4327-83D4-5C8C5B8FE632}" name="個人／構成比" dataDxfId="900"/>
    <tableColumn id="14" xr3:uid="{3372D11B-A3E8-41CE-AD84-625035D7B9CB}" name="法人／事業所数" dataCellStyle="桁区切り"/>
    <tableColumn id="15" xr3:uid="{94AC1ED4-7F3A-4D22-B905-90F0B692A878}" name="法人／構成比" dataDxfId="899"/>
    <tableColumn id="16" xr3:uid="{A6D13AC7-37DC-4600-8634-BD533058BD1D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1553A8E0-DFB0-4AE0-8AD2-87AF986D3A59}" name="S_TABLE_40131" displayName="S_TABLE_40131" ref="B46:I67" totalsRowShown="0">
  <autoFilter ref="B46:I67" xr:uid="{1553A8E0-DFB0-4AE0-8AD2-87AF986D3A59}"/>
  <tableColumns count="8">
    <tableColumn id="9" xr3:uid="{66BCBFB6-319E-48F7-B750-B73BCB364207}" name="産業小分類上位２０"/>
    <tableColumn id="10" xr3:uid="{50703F0D-1FA1-4B84-9166-7A4629504CA5}" name="総数／事業所数" dataCellStyle="桁区切り"/>
    <tableColumn id="11" xr3:uid="{84C29A22-37B4-4041-9745-027CAE46CDAE}" name="総数／構成比" dataDxfId="898"/>
    <tableColumn id="12" xr3:uid="{DBB0A9B0-CF6D-403E-A5D4-68CDD8F4FFFD}" name="個人／事業所数" dataCellStyle="桁区切り"/>
    <tableColumn id="13" xr3:uid="{26124E24-A470-4900-9334-3D4F6FAFEE1F}" name="個人／構成比" dataDxfId="897"/>
    <tableColumn id="14" xr3:uid="{56DE0656-FBED-42EE-96DF-627571801742}" name="法人／事業所数" dataCellStyle="桁区切り"/>
    <tableColumn id="15" xr3:uid="{BECD975D-71F4-4C03-8394-0FC7F4228B06}" name="法人／構成比" dataDxfId="896"/>
    <tableColumn id="16" xr3:uid="{054FF333-39C3-4281-8042-5B6EA4EBD881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210BCA61-E75D-4247-93F6-97CBA7815CB6}" name="LTBL_40132" displayName="LTBL_40132" ref="B4:I20" totalsRowCount="1">
  <autoFilter ref="B4:I19" xr:uid="{210BCA61-E75D-4247-93F6-97CBA7815CB6}"/>
  <tableColumns count="8">
    <tableColumn id="9" xr3:uid="{8FBB209D-F381-4FF7-8ED8-EF300F961E4F}" name="産業大分類" totalsRowLabel="合計" totalsRowDxfId="895"/>
    <tableColumn id="10" xr3:uid="{C8D0D0F3-E0B3-42ED-B3A8-FC6E7B3D6D69}" name="総数／事業所数" totalsRowFunction="custom" totalsRowDxfId="894" dataCellStyle="桁区切り" totalsRowCellStyle="桁区切り">
      <totalsRowFormula>SUM(LTBL_40132[総数／事業所数])</totalsRowFormula>
    </tableColumn>
    <tableColumn id="11" xr3:uid="{AB59549E-8FE5-4CAC-8B8D-FA3B8A182B89}" name="総数／構成比" dataDxfId="893"/>
    <tableColumn id="12" xr3:uid="{D2849970-9384-49BE-8685-99D417595F69}" name="個人／事業所数" totalsRowFunction="sum" totalsRowDxfId="892" dataCellStyle="桁区切り" totalsRowCellStyle="桁区切り"/>
    <tableColumn id="13" xr3:uid="{3DA3D8C0-3063-448E-8DE2-E746893FE27E}" name="個人／構成比" dataDxfId="891"/>
    <tableColumn id="14" xr3:uid="{8D60A03F-6081-4E88-8FB9-652DFD266A6C}" name="法人／事業所数" totalsRowFunction="sum" totalsRowDxfId="890" dataCellStyle="桁区切り" totalsRowCellStyle="桁区切り"/>
    <tableColumn id="15" xr3:uid="{1DDF65F4-0367-4DDF-B583-32F37AD2ADCB}" name="法人／構成比" dataDxfId="889"/>
    <tableColumn id="16" xr3:uid="{50746A6D-6985-461F-A2C0-C082D3078639}" name="法人以外の団体／事業所数" totalsRowFunction="sum" totalsRowDxfId="888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63732532-65D5-4C37-AB05-BDE828AA52B5}" name="M_TABLE_40132" displayName="M_TABLE_40132" ref="B23:I43" totalsRowShown="0">
  <autoFilter ref="B23:I43" xr:uid="{63732532-65D5-4C37-AB05-BDE828AA52B5}"/>
  <tableColumns count="8">
    <tableColumn id="9" xr3:uid="{9AA78B0C-E3F2-4306-AB0D-9929C2264482}" name="産業中分類上位２０"/>
    <tableColumn id="10" xr3:uid="{EFFF5930-4B97-473D-8185-C8BA41A36FE9}" name="総数／事業所数" dataCellStyle="桁区切り"/>
    <tableColumn id="11" xr3:uid="{2424981C-314C-4792-9F37-38B9D10F8814}" name="総数／構成比" dataDxfId="887"/>
    <tableColumn id="12" xr3:uid="{A4F6F79A-243F-464C-B1B6-29CA0A9473D7}" name="個人／事業所数" dataCellStyle="桁区切り"/>
    <tableColumn id="13" xr3:uid="{D9FE1725-1C28-44B9-8165-8481E11431BC}" name="個人／構成比" dataDxfId="886"/>
    <tableColumn id="14" xr3:uid="{4210B2C7-1CF2-44E1-B6D8-1A9679DA16BE}" name="法人／事業所数" dataCellStyle="桁区切り"/>
    <tableColumn id="15" xr3:uid="{E72A2546-A74E-47AC-9A3D-A30FB8AA222C}" name="法人／構成比" dataDxfId="885"/>
    <tableColumn id="16" xr3:uid="{035F262F-E1C9-45DF-8723-DC710E1CCA27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1E9CCCE3-5D43-4F25-BEF9-BF7FF0604C64}" name="S_TABLE_40132" displayName="S_TABLE_40132" ref="B46:I66" totalsRowShown="0">
  <autoFilter ref="B46:I66" xr:uid="{1E9CCCE3-5D43-4F25-BEF9-BF7FF0604C64}"/>
  <tableColumns count="8">
    <tableColumn id="9" xr3:uid="{48BB77A8-9C4D-47F8-BCB1-B2EC3CC8F187}" name="産業小分類上位２０"/>
    <tableColumn id="10" xr3:uid="{65888E17-FE55-4B79-A973-09F51683C8D8}" name="総数／事業所数" dataCellStyle="桁区切り"/>
    <tableColumn id="11" xr3:uid="{015801CC-0E8E-4E5E-A612-A20886D140BF}" name="総数／構成比" dataDxfId="884"/>
    <tableColumn id="12" xr3:uid="{F8B3DF7C-9871-4930-9A23-5E8C3519932D}" name="個人／事業所数" dataCellStyle="桁区切り"/>
    <tableColumn id="13" xr3:uid="{ABA44FAD-E19E-4F00-8FF7-E737EFC955ED}" name="個人／構成比" dataDxfId="883"/>
    <tableColumn id="14" xr3:uid="{66F5578F-A68D-4B73-BE20-7A223F2538F5}" name="法人／事業所数" dataCellStyle="桁区切り"/>
    <tableColumn id="15" xr3:uid="{60D7D3B9-BCB6-473B-91E6-4E655A1F7362}" name="法人／構成比" dataDxfId="882"/>
    <tableColumn id="16" xr3:uid="{645DB99E-7149-4E82-BEF6-31290542FDFA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DF492DAB-43A9-4D59-A542-2E131FD2187A}" name="LTBL_40133" displayName="LTBL_40133" ref="B4:I20" totalsRowCount="1">
  <autoFilter ref="B4:I19" xr:uid="{DF492DAB-43A9-4D59-A542-2E131FD2187A}"/>
  <tableColumns count="8">
    <tableColumn id="9" xr3:uid="{71629AB2-D1B8-4F30-B18B-7BAEEEB380EB}" name="産業大分類" totalsRowLabel="合計" totalsRowDxfId="881"/>
    <tableColumn id="10" xr3:uid="{C1718B5C-9237-4680-87DC-3CD697CE45B9}" name="総数／事業所数" totalsRowFunction="custom" totalsRowDxfId="880" dataCellStyle="桁区切り" totalsRowCellStyle="桁区切り">
      <totalsRowFormula>SUM(LTBL_40133[総数／事業所数])</totalsRowFormula>
    </tableColumn>
    <tableColumn id="11" xr3:uid="{94196B2E-EB77-4BB0-B512-7C4E75940593}" name="総数／構成比" dataDxfId="879"/>
    <tableColumn id="12" xr3:uid="{60874D20-7781-4AEA-852B-188F266F152E}" name="個人／事業所数" totalsRowFunction="sum" totalsRowDxfId="878" dataCellStyle="桁区切り" totalsRowCellStyle="桁区切り"/>
    <tableColumn id="13" xr3:uid="{ED48A36A-5A9D-498E-B010-7881DFDCE2E8}" name="個人／構成比" dataDxfId="877"/>
    <tableColumn id="14" xr3:uid="{1B6858B6-23AC-4BB4-A662-C76C4464C4E9}" name="法人／事業所数" totalsRowFunction="sum" totalsRowDxfId="876" dataCellStyle="桁区切り" totalsRowCellStyle="桁区切り"/>
    <tableColumn id="15" xr3:uid="{2418AF1B-8567-48ED-9F64-995C8AF1E101}" name="法人／構成比" dataDxfId="875"/>
    <tableColumn id="16" xr3:uid="{E6E5857A-08D6-4977-96E5-61B5933F5395}" name="法人以外の団体／事業所数" totalsRowFunction="sum" totalsRowDxfId="874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19EBD518-DE27-497A-BEE6-FE45A17BDC06}" name="M_TABLE_40133" displayName="M_TABLE_40133" ref="B23:I43" totalsRowShown="0">
  <autoFilter ref="B23:I43" xr:uid="{19EBD518-DE27-497A-BEE6-FE45A17BDC06}"/>
  <tableColumns count="8">
    <tableColumn id="9" xr3:uid="{D434712D-8640-430B-8EE7-D6CA81C9A848}" name="産業中分類上位２０"/>
    <tableColumn id="10" xr3:uid="{4430158A-EB81-4B24-81D8-6C18D5A72251}" name="総数／事業所数" dataCellStyle="桁区切り"/>
    <tableColumn id="11" xr3:uid="{12C8BF73-4295-4EA7-B258-23A63338E88A}" name="総数／構成比" dataDxfId="873"/>
    <tableColumn id="12" xr3:uid="{6EA91CB1-2BEE-4D8F-AAE6-65E5565BC2EA}" name="個人／事業所数" dataCellStyle="桁区切り"/>
    <tableColumn id="13" xr3:uid="{F6BD9CA3-D230-4B3C-BE14-1BB710F4E820}" name="個人／構成比" dataDxfId="872"/>
    <tableColumn id="14" xr3:uid="{72F7A44A-F7D5-4089-A55D-A00FB2B87E61}" name="法人／事業所数" dataCellStyle="桁区切り"/>
    <tableColumn id="15" xr3:uid="{B1804DA3-C7B4-4E55-AA33-7DF2817E110B}" name="法人／構成比" dataDxfId="871"/>
    <tableColumn id="16" xr3:uid="{E774E16F-03CC-4A35-9A9C-E6C8B0C67495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B08B8866-9C8C-4D92-8B5C-B365CACC57F6}" name="S_TABLE_40133" displayName="S_TABLE_40133" ref="B46:I66" totalsRowShown="0">
  <autoFilter ref="B46:I66" xr:uid="{B08B8866-9C8C-4D92-8B5C-B365CACC57F6}"/>
  <tableColumns count="8">
    <tableColumn id="9" xr3:uid="{ADD62D3A-C27A-4FEA-8985-BAEEEE3A460F}" name="産業小分類上位２０"/>
    <tableColumn id="10" xr3:uid="{956E906C-BF3B-48ED-9830-85F9104E48ED}" name="総数／事業所数" dataCellStyle="桁区切り"/>
    <tableColumn id="11" xr3:uid="{216DA8A5-DD7C-4C20-A2B3-268218E37BC0}" name="総数／構成比" dataDxfId="870"/>
    <tableColumn id="12" xr3:uid="{8DC2B5F9-DF5A-49F2-8813-591DFB678863}" name="個人／事業所数" dataCellStyle="桁区切り"/>
    <tableColumn id="13" xr3:uid="{E5AAF750-7F98-40B0-B87E-61C11A76E12E}" name="個人／構成比" dataDxfId="869"/>
    <tableColumn id="14" xr3:uid="{E95312E9-B104-463B-B59F-BFFA0E9D90B7}" name="法人／事業所数" dataCellStyle="桁区切り"/>
    <tableColumn id="15" xr3:uid="{1A86D2CA-31E8-4649-8CAF-38C37664B51F}" name="法人／構成比" dataDxfId="868"/>
    <tableColumn id="16" xr3:uid="{54C115ED-F1DC-4012-9298-04BA14044217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640F549-CBB1-45A6-8A86-9E5838E2874E}" name="LTBL_40100" displayName="LTBL_40100" ref="B4:I20" totalsRowCount="1">
  <autoFilter ref="B4:I19" xr:uid="{7640F549-CBB1-45A6-8A86-9E5838E2874E}"/>
  <tableColumns count="8">
    <tableColumn id="9" xr3:uid="{05EF5107-A3B5-45BC-AB1B-88C880D23595}" name="産業大分類" totalsRowLabel="合計" totalsRowDxfId="1035"/>
    <tableColumn id="10" xr3:uid="{8E474B05-D9B1-45F4-89CF-8EAB21884CF1}" name="総数／事業所数" totalsRowFunction="custom" totalsRowDxfId="1034" dataCellStyle="桁区切り" totalsRowCellStyle="桁区切り">
      <totalsRowFormula>SUM(LTBL_40100[総数／事業所数])</totalsRowFormula>
    </tableColumn>
    <tableColumn id="11" xr3:uid="{F5C659A1-9A41-40E2-85E5-59E1D81CA545}" name="総数／構成比" dataDxfId="1033"/>
    <tableColumn id="12" xr3:uid="{C0410A73-AAD9-4A20-8980-3B5B4178F396}" name="個人／事業所数" totalsRowFunction="sum" totalsRowDxfId="1032" dataCellStyle="桁区切り" totalsRowCellStyle="桁区切り"/>
    <tableColumn id="13" xr3:uid="{B1A725A5-DBC9-42E9-B3D1-8DF64D857E5B}" name="個人／構成比" dataDxfId="1031"/>
    <tableColumn id="14" xr3:uid="{BD5D8794-439E-4362-A3F6-F1AC4F3ED4A3}" name="法人／事業所数" totalsRowFunction="sum" totalsRowDxfId="1030" dataCellStyle="桁区切り" totalsRowCellStyle="桁区切り"/>
    <tableColumn id="15" xr3:uid="{715C552C-D5DF-4DED-86E2-15F3B8E2A801}" name="法人／構成比" dataDxfId="1029"/>
    <tableColumn id="16" xr3:uid="{DB401BFE-9ABD-4605-BBA1-0AF8B98CBC74}" name="法人以外の団体／事業所数" totalsRowFunction="sum" totalsRowDxfId="1028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E6BD7964-7EEE-4D75-B20A-A03E9676307C}" name="LTBL_40134" displayName="LTBL_40134" ref="B4:I20" totalsRowCount="1">
  <autoFilter ref="B4:I19" xr:uid="{E6BD7964-7EEE-4D75-B20A-A03E9676307C}"/>
  <tableColumns count="8">
    <tableColumn id="9" xr3:uid="{BC23B39F-A783-451A-A333-4296C281C2BF}" name="産業大分類" totalsRowLabel="合計" totalsRowDxfId="867"/>
    <tableColumn id="10" xr3:uid="{F1E5BD63-0DAC-496E-A542-AE15F9FCACDA}" name="総数／事業所数" totalsRowFunction="custom" totalsRowDxfId="866" dataCellStyle="桁区切り" totalsRowCellStyle="桁区切り">
      <totalsRowFormula>SUM(LTBL_40134[総数／事業所数])</totalsRowFormula>
    </tableColumn>
    <tableColumn id="11" xr3:uid="{188998C6-7FE1-412B-837B-847EE14DF7FA}" name="総数／構成比" dataDxfId="865"/>
    <tableColumn id="12" xr3:uid="{62006229-C4B3-42D8-975F-197A15CBC3DD}" name="個人／事業所数" totalsRowFunction="sum" totalsRowDxfId="864" dataCellStyle="桁区切り" totalsRowCellStyle="桁区切り"/>
    <tableColumn id="13" xr3:uid="{1CE3BAD9-A15E-4D8D-8822-B1093AE4B294}" name="個人／構成比" dataDxfId="863"/>
    <tableColumn id="14" xr3:uid="{EA43947C-5140-429C-B785-19D1ADD439F3}" name="法人／事業所数" totalsRowFunction="sum" totalsRowDxfId="862" dataCellStyle="桁区切り" totalsRowCellStyle="桁区切り"/>
    <tableColumn id="15" xr3:uid="{9B338904-F75C-4BD0-95E8-F3670323982E}" name="法人／構成比" dataDxfId="861"/>
    <tableColumn id="16" xr3:uid="{13A32739-D69A-4FD2-AED3-56B66E309413}" name="法人以外の団体／事業所数" totalsRowFunction="sum" totalsRowDxfId="860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9037B165-31C9-4730-B226-AAC53BC48C95}" name="M_TABLE_40134" displayName="M_TABLE_40134" ref="B23:I43" totalsRowShown="0">
  <autoFilter ref="B23:I43" xr:uid="{9037B165-31C9-4730-B226-AAC53BC48C95}"/>
  <tableColumns count="8">
    <tableColumn id="9" xr3:uid="{CE396B4F-9BA1-41F2-B555-2F6A0A56BC91}" name="産業中分類上位２０"/>
    <tableColumn id="10" xr3:uid="{6029D7A2-776C-4359-82A4-1D997604FBDA}" name="総数／事業所数" dataCellStyle="桁区切り"/>
    <tableColumn id="11" xr3:uid="{754F2D99-4782-47BB-B063-EA98F35C9683}" name="総数／構成比" dataDxfId="859"/>
    <tableColumn id="12" xr3:uid="{653C71C4-E85A-4E07-A749-D564AA10AA65}" name="個人／事業所数" dataCellStyle="桁区切り"/>
    <tableColumn id="13" xr3:uid="{5E3E1592-FDDC-4F4E-95E5-0327ED400BFE}" name="個人／構成比" dataDxfId="858"/>
    <tableColumn id="14" xr3:uid="{89BF19C1-7D61-452C-8701-8D13D6F3AEA0}" name="法人／事業所数" dataCellStyle="桁区切り"/>
    <tableColumn id="15" xr3:uid="{314D2DF9-220A-4526-983D-E2712A654FA4}" name="法人／構成比" dataDxfId="857"/>
    <tableColumn id="16" xr3:uid="{7B27B873-0E48-4298-B5EF-CD13CF2ED2DB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F2330C7E-CF66-4437-AF78-F2866813838A}" name="S_TABLE_40134" displayName="S_TABLE_40134" ref="B46:I66" totalsRowShown="0">
  <autoFilter ref="B46:I66" xr:uid="{F2330C7E-CF66-4437-AF78-F2866813838A}"/>
  <tableColumns count="8">
    <tableColumn id="9" xr3:uid="{63EA12C7-D6CA-484C-8979-63D34168E647}" name="産業小分類上位２０"/>
    <tableColumn id="10" xr3:uid="{3992231B-EE95-4EF3-8D09-E330B7B1EC20}" name="総数／事業所数" dataCellStyle="桁区切り"/>
    <tableColumn id="11" xr3:uid="{0533273A-E96D-41F6-8202-9A83D61C4243}" name="総数／構成比" dataDxfId="856"/>
    <tableColumn id="12" xr3:uid="{C05A7248-91E3-4C3A-88DF-E77A64343351}" name="個人／事業所数" dataCellStyle="桁区切り"/>
    <tableColumn id="13" xr3:uid="{6E536C75-B656-477C-882D-14ECC68616FB}" name="個人／構成比" dataDxfId="855"/>
    <tableColumn id="14" xr3:uid="{232B9AD1-375A-4C13-A273-E35742329BDA}" name="法人／事業所数" dataCellStyle="桁区切り"/>
    <tableColumn id="15" xr3:uid="{6F2C5085-C76F-4522-B8C5-B75386061E66}" name="法人／構成比" dataDxfId="854"/>
    <tableColumn id="16" xr3:uid="{06A2E4DB-7EA6-421E-A791-1D981CD1B1E0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D5BD6A67-135B-4444-9C65-C9F4E6FCDFE5}" name="LTBL_40135" displayName="LTBL_40135" ref="B4:I20" totalsRowCount="1">
  <autoFilter ref="B4:I19" xr:uid="{D5BD6A67-135B-4444-9C65-C9F4E6FCDFE5}"/>
  <tableColumns count="8">
    <tableColumn id="9" xr3:uid="{537D5B52-6E31-4BCC-BD7A-09707EE8F23A}" name="産業大分類" totalsRowLabel="合計" totalsRowDxfId="853"/>
    <tableColumn id="10" xr3:uid="{C1E0FFEE-5F24-42CD-9783-4A63E633040F}" name="総数／事業所数" totalsRowFunction="custom" totalsRowDxfId="852" dataCellStyle="桁区切り" totalsRowCellStyle="桁区切り">
      <totalsRowFormula>SUM(LTBL_40135[総数／事業所数])</totalsRowFormula>
    </tableColumn>
    <tableColumn id="11" xr3:uid="{5EF38818-B553-4013-9AAD-94A15AAA660C}" name="総数／構成比" dataDxfId="851"/>
    <tableColumn id="12" xr3:uid="{553F0DA4-C029-402F-B7C6-42E46FABA499}" name="個人／事業所数" totalsRowFunction="sum" totalsRowDxfId="850" dataCellStyle="桁区切り" totalsRowCellStyle="桁区切り"/>
    <tableColumn id="13" xr3:uid="{2D81218F-CDD3-4B2D-81EA-D2EE961131B1}" name="個人／構成比" dataDxfId="849"/>
    <tableColumn id="14" xr3:uid="{F7AAE56D-7E47-4F4C-A5DF-FCC75AE63A3E}" name="法人／事業所数" totalsRowFunction="sum" totalsRowDxfId="848" dataCellStyle="桁区切り" totalsRowCellStyle="桁区切り"/>
    <tableColumn id="15" xr3:uid="{10C11C37-FE09-4378-80DC-6F2462C1EB54}" name="法人／構成比" dataDxfId="847"/>
    <tableColumn id="16" xr3:uid="{915A01E1-EFC7-4795-8761-CE7C0E45960C}" name="法人以外の団体／事業所数" totalsRowFunction="sum" totalsRowDxfId="846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8B3C61CA-EE66-4A5C-B078-BCFCAA4CD53E}" name="M_TABLE_40135" displayName="M_TABLE_40135" ref="B23:I43" totalsRowShown="0">
  <autoFilter ref="B23:I43" xr:uid="{8B3C61CA-EE66-4A5C-B078-BCFCAA4CD53E}"/>
  <tableColumns count="8">
    <tableColumn id="9" xr3:uid="{B3840885-99F6-4EEB-9294-C0DAAB20A334}" name="産業中分類上位２０"/>
    <tableColumn id="10" xr3:uid="{20BBB60F-F72E-443D-9E41-B25D1E57D84C}" name="総数／事業所数" dataCellStyle="桁区切り"/>
    <tableColumn id="11" xr3:uid="{F6B8CBFD-B5BB-4F41-A185-5EEE48CD262C}" name="総数／構成比" dataDxfId="845"/>
    <tableColumn id="12" xr3:uid="{63A3CFA9-768E-48AE-832B-E6CCBD14E95A}" name="個人／事業所数" dataCellStyle="桁区切り"/>
    <tableColumn id="13" xr3:uid="{AB1C62B9-9B14-4187-B112-B4E5D94911B9}" name="個人／構成比" dataDxfId="844"/>
    <tableColumn id="14" xr3:uid="{8AD08109-0C5D-477E-B0E9-34B72AB02063}" name="法人／事業所数" dataCellStyle="桁区切り"/>
    <tableColumn id="15" xr3:uid="{BE0A9211-37E1-4D36-AE5A-30B53FE02700}" name="法人／構成比" dataDxfId="843"/>
    <tableColumn id="16" xr3:uid="{1390334F-71C7-45CF-9A33-250A0CEF32EF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7B76F277-261A-4BF1-9A32-B4D11A819B53}" name="S_TABLE_40135" displayName="S_TABLE_40135" ref="B46:I67" totalsRowShown="0">
  <autoFilter ref="B46:I67" xr:uid="{7B76F277-261A-4BF1-9A32-B4D11A819B53}"/>
  <tableColumns count="8">
    <tableColumn id="9" xr3:uid="{AFE7AD56-74CF-4A63-8593-EC05E7A87867}" name="産業小分類上位２０"/>
    <tableColumn id="10" xr3:uid="{3586F8C9-0FF2-4068-B078-059B7EB835A7}" name="総数／事業所数" dataCellStyle="桁区切り"/>
    <tableColumn id="11" xr3:uid="{11168593-6BEB-4FF7-AFE8-829B233839C9}" name="総数／構成比" dataDxfId="842"/>
    <tableColumn id="12" xr3:uid="{18238516-7798-40C0-9B1E-38354B6084A6}" name="個人／事業所数" dataCellStyle="桁区切り"/>
    <tableColumn id="13" xr3:uid="{3127718E-F57D-4B18-822D-80F4E825A6F6}" name="個人／構成比" dataDxfId="841"/>
    <tableColumn id="14" xr3:uid="{8ECEBD3A-3782-4D1F-8A36-93A5A4C1B16E}" name="法人／事業所数" dataCellStyle="桁区切り"/>
    <tableColumn id="15" xr3:uid="{965D11C7-4999-42E4-ACE5-6C3613CE9B18}" name="法人／構成比" dataDxfId="840"/>
    <tableColumn id="16" xr3:uid="{1008A6D5-8A8E-41EF-B578-8E49C92F03C8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18835666-B636-4F50-9DAA-27BC6D0D7E1A}" name="LTBL_40136" displayName="LTBL_40136" ref="B4:I20" totalsRowCount="1">
  <autoFilter ref="B4:I19" xr:uid="{18835666-B636-4F50-9DAA-27BC6D0D7E1A}"/>
  <tableColumns count="8">
    <tableColumn id="9" xr3:uid="{DF1BC8F5-3F05-47D1-A9E1-CEE25F5041EC}" name="産業大分類" totalsRowLabel="合計" totalsRowDxfId="839"/>
    <tableColumn id="10" xr3:uid="{5DA8E682-9D41-4CAF-9ACC-64A27290855E}" name="総数／事業所数" totalsRowFunction="custom" totalsRowDxfId="838" dataCellStyle="桁区切り" totalsRowCellStyle="桁区切り">
      <totalsRowFormula>SUM(LTBL_40136[総数／事業所数])</totalsRowFormula>
    </tableColumn>
    <tableColumn id="11" xr3:uid="{E3E21980-654A-45C9-B029-6D1DD6BD8928}" name="総数／構成比" dataDxfId="837"/>
    <tableColumn id="12" xr3:uid="{F85B3B36-2FCE-43D6-B7C2-35F2B3CE1E8C}" name="個人／事業所数" totalsRowFunction="sum" totalsRowDxfId="836" dataCellStyle="桁区切り" totalsRowCellStyle="桁区切り"/>
    <tableColumn id="13" xr3:uid="{7B08683B-47E6-488F-A613-6B82189D0791}" name="個人／構成比" dataDxfId="835"/>
    <tableColumn id="14" xr3:uid="{7AE46957-30C1-4642-AD2F-C87E7E85499F}" name="法人／事業所数" totalsRowFunction="sum" totalsRowDxfId="834" dataCellStyle="桁区切り" totalsRowCellStyle="桁区切り"/>
    <tableColumn id="15" xr3:uid="{05868BD0-8E8D-4FB9-B307-0097E6667006}" name="法人／構成比" dataDxfId="833"/>
    <tableColumn id="16" xr3:uid="{57F4EDD2-C9C8-4084-90E8-40729C0F59A7}" name="法人以外の団体／事業所数" totalsRowFunction="sum" totalsRowDxfId="832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203CBB72-0339-46A5-ADB4-234882E9CC31}" name="M_TABLE_40136" displayName="M_TABLE_40136" ref="B23:I43" totalsRowShown="0">
  <autoFilter ref="B23:I43" xr:uid="{203CBB72-0339-46A5-ADB4-234882E9CC31}"/>
  <tableColumns count="8">
    <tableColumn id="9" xr3:uid="{C20CDE95-E491-47A0-8838-45BEF566301E}" name="産業中分類上位２０"/>
    <tableColumn id="10" xr3:uid="{AADBF05A-62ED-422C-B6E6-6539F30E655B}" name="総数／事業所数" dataCellStyle="桁区切り"/>
    <tableColumn id="11" xr3:uid="{F21888FF-7432-466D-A7C4-2B93DFA01CB2}" name="総数／構成比" dataDxfId="831"/>
    <tableColumn id="12" xr3:uid="{DCBD739A-5378-4D49-A8F6-6A4E644E589E}" name="個人／事業所数" dataCellStyle="桁区切り"/>
    <tableColumn id="13" xr3:uid="{ED34DB77-EF3C-4184-943B-34A9D3A77955}" name="個人／構成比" dataDxfId="830"/>
    <tableColumn id="14" xr3:uid="{29A3B7C1-6B98-45C5-B174-D9F3B9B585C6}" name="法人／事業所数" dataCellStyle="桁区切り"/>
    <tableColumn id="15" xr3:uid="{6284B325-E0B0-4FA0-9F25-3DBAC76B848E}" name="法人／構成比" dataDxfId="829"/>
    <tableColumn id="16" xr3:uid="{875438C8-98A2-4CBC-B6C3-3DED593B94CD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AB5E7F49-4AEB-47A1-83FB-97A2F7A06AC6}" name="S_TABLE_40136" displayName="S_TABLE_40136" ref="B46:I67" totalsRowShown="0">
  <autoFilter ref="B46:I67" xr:uid="{AB5E7F49-4AEB-47A1-83FB-97A2F7A06AC6}"/>
  <tableColumns count="8">
    <tableColumn id="9" xr3:uid="{1A180C04-5BC6-490C-8009-821F28978760}" name="産業小分類上位２０"/>
    <tableColumn id="10" xr3:uid="{A20CAF9D-E18A-4737-AF09-2FA850966CE7}" name="総数／事業所数" dataCellStyle="桁区切り"/>
    <tableColumn id="11" xr3:uid="{409171AB-ABC4-4C49-9FB7-62627C179C9D}" name="総数／構成比" dataDxfId="828"/>
    <tableColumn id="12" xr3:uid="{F47DB3EF-F626-4E9B-82C4-D11F7EE50094}" name="個人／事業所数" dataCellStyle="桁区切り"/>
    <tableColumn id="13" xr3:uid="{C32219FF-6BB4-4015-BBE6-554515B67F90}" name="個人／構成比" dataDxfId="827"/>
    <tableColumn id="14" xr3:uid="{35A3CAC1-957F-4EE4-B489-ABF73D027F50}" name="法人／事業所数" dataCellStyle="桁区切り"/>
    <tableColumn id="15" xr3:uid="{DC813923-124E-48ED-AED4-2ABE35EBA7FD}" name="法人／構成比" dataDxfId="826"/>
    <tableColumn id="16" xr3:uid="{03FEF82A-AF8C-4CAC-B820-FB638A900032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B9148D62-E2AE-4A0E-BC4A-5F47509B69F7}" name="LTBL_40137" displayName="LTBL_40137" ref="B4:I20" totalsRowCount="1">
  <autoFilter ref="B4:I19" xr:uid="{B9148D62-E2AE-4A0E-BC4A-5F47509B69F7}"/>
  <tableColumns count="8">
    <tableColumn id="9" xr3:uid="{76D20DF0-F388-411C-A0F0-943439D33DA5}" name="産業大分類" totalsRowLabel="合計" totalsRowDxfId="825"/>
    <tableColumn id="10" xr3:uid="{458F953F-5286-449F-90A5-C68B9B44EA4D}" name="総数／事業所数" totalsRowFunction="custom" totalsRowDxfId="824" dataCellStyle="桁区切り" totalsRowCellStyle="桁区切り">
      <totalsRowFormula>SUM(LTBL_40137[総数／事業所数])</totalsRowFormula>
    </tableColumn>
    <tableColumn id="11" xr3:uid="{F7834147-1D44-4554-A7C7-12D1E6D637D4}" name="総数／構成比" dataDxfId="823"/>
    <tableColumn id="12" xr3:uid="{B56CA08F-E772-41D0-B153-76D84A04AF5C}" name="個人／事業所数" totalsRowFunction="sum" totalsRowDxfId="822" dataCellStyle="桁区切り" totalsRowCellStyle="桁区切り"/>
    <tableColumn id="13" xr3:uid="{28BCDF00-D8F3-4DEC-945F-B9945B90404B}" name="個人／構成比" dataDxfId="821"/>
    <tableColumn id="14" xr3:uid="{FD045BB5-4500-427C-83FC-1C1A9EACCBF5}" name="法人／事業所数" totalsRowFunction="sum" totalsRowDxfId="820" dataCellStyle="桁区切り" totalsRowCellStyle="桁区切り"/>
    <tableColumn id="15" xr3:uid="{DF23CDFB-2727-4A83-9073-D52E0EEBE055}" name="法人／構成比" dataDxfId="819"/>
    <tableColumn id="16" xr3:uid="{8C67966E-6520-449A-8BA1-7D0A292D16E7}" name="法人以外の団体／事業所数" totalsRowFunction="sum" totalsRowDxfId="818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DAD621E-9504-4287-996F-53B814EB39D6}" name="M_TABLE_40100" displayName="M_TABLE_40100" ref="B23:I43" totalsRowShown="0">
  <autoFilter ref="B23:I43" xr:uid="{2DAD621E-9504-4287-996F-53B814EB39D6}"/>
  <tableColumns count="8">
    <tableColumn id="9" xr3:uid="{7318BFBA-5E33-45EE-9BAF-F1B3235EB24F}" name="産業中分類上位２０"/>
    <tableColumn id="10" xr3:uid="{B40BE44A-600B-4423-B79F-E2BEC6BE5FEB}" name="総数／事業所数" dataCellStyle="桁区切り"/>
    <tableColumn id="11" xr3:uid="{40BBC7AA-CD90-4B30-8645-BCEA844FAD50}" name="総数／構成比" dataDxfId="1027"/>
    <tableColumn id="12" xr3:uid="{2AE07E12-1086-4296-A7B8-08834A4E2357}" name="個人／事業所数" dataCellStyle="桁区切り"/>
    <tableColumn id="13" xr3:uid="{BCEA9E05-A37A-4856-B2DF-DFB416AFC837}" name="個人／構成比" dataDxfId="1026"/>
    <tableColumn id="14" xr3:uid="{3D763B6A-464A-48A8-A55A-E6070E368B6E}" name="法人／事業所数" dataCellStyle="桁区切り"/>
    <tableColumn id="15" xr3:uid="{8D505746-979E-4760-A083-6598FA74A7BF}" name="法人／構成比" dataDxfId="1025"/>
    <tableColumn id="16" xr3:uid="{B35038AB-A6D3-4803-BC01-89F883A40076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A8DF2B8E-7C0D-4EB0-ACA2-3A522B2A1AC3}" name="M_TABLE_40137" displayName="M_TABLE_40137" ref="B23:I43" totalsRowShown="0">
  <autoFilter ref="B23:I43" xr:uid="{A8DF2B8E-7C0D-4EB0-ACA2-3A522B2A1AC3}"/>
  <tableColumns count="8">
    <tableColumn id="9" xr3:uid="{CABBF4BD-1497-4B6D-B8FD-34DA61415C58}" name="産業中分類上位２０"/>
    <tableColumn id="10" xr3:uid="{3BA67C93-5B5D-41CC-B7E5-0B2D77941213}" name="総数／事業所数" dataCellStyle="桁区切り"/>
    <tableColumn id="11" xr3:uid="{71B6F8B3-A3D3-4C1C-A034-2A930DF42B24}" name="総数／構成比" dataDxfId="817"/>
    <tableColumn id="12" xr3:uid="{AAE1BB67-61CF-4F40-BF75-9E920A02A689}" name="個人／事業所数" dataCellStyle="桁区切り"/>
    <tableColumn id="13" xr3:uid="{ADB08D1A-DF82-4404-8E78-E8E01D1DE041}" name="個人／構成比" dataDxfId="816"/>
    <tableColumn id="14" xr3:uid="{F44EC2B2-421A-4FCE-A60E-EEA210117FE5}" name="法人／事業所数" dataCellStyle="桁区切り"/>
    <tableColumn id="15" xr3:uid="{01963B83-B0AE-4247-9F2F-13B52DE3C8D1}" name="法人／構成比" dataDxfId="815"/>
    <tableColumn id="16" xr3:uid="{CF414071-AE61-4CF1-9D64-270A3B27325D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374BE6A5-153B-4E9F-972A-349912D1407C}" name="S_TABLE_40137" displayName="S_TABLE_40137" ref="B46:I66" totalsRowShown="0">
  <autoFilter ref="B46:I66" xr:uid="{374BE6A5-153B-4E9F-972A-349912D1407C}"/>
  <tableColumns count="8">
    <tableColumn id="9" xr3:uid="{B961A6F9-1930-4FD1-912E-17BAD265FCA5}" name="産業小分類上位２０"/>
    <tableColumn id="10" xr3:uid="{F10E86AC-A463-4A6A-BEC8-99678257F753}" name="総数／事業所数" dataCellStyle="桁区切り"/>
    <tableColumn id="11" xr3:uid="{F371C9E9-1A1D-47E2-BDD2-35047E22BBA4}" name="総数／構成比" dataDxfId="814"/>
    <tableColumn id="12" xr3:uid="{90E81825-D392-46BF-B34A-27D6BF4229BC}" name="個人／事業所数" dataCellStyle="桁区切り"/>
    <tableColumn id="13" xr3:uid="{6315D550-884D-4479-91DF-785A846EA71A}" name="個人／構成比" dataDxfId="813"/>
    <tableColumn id="14" xr3:uid="{5C542E1F-2313-4B6F-82A6-FC96A6E2BFA3}" name="法人／事業所数" dataCellStyle="桁区切り"/>
    <tableColumn id="15" xr3:uid="{CA86C21D-8B9A-488B-9947-46827E5BCE10}" name="法人／構成比" dataDxfId="812"/>
    <tableColumn id="16" xr3:uid="{28C9C655-E631-4303-9F39-7D81F23B27FC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E5E339BB-ACF2-4B05-8E0C-5C466BF472DB}" name="LTBL_40202" displayName="LTBL_40202" ref="B4:I20" totalsRowCount="1">
  <autoFilter ref="B4:I19" xr:uid="{E5E339BB-ACF2-4B05-8E0C-5C466BF472DB}"/>
  <tableColumns count="8">
    <tableColumn id="9" xr3:uid="{D3F48370-3293-4F1C-8C80-30D26D7BF4CD}" name="産業大分類" totalsRowLabel="合計" totalsRowDxfId="811"/>
    <tableColumn id="10" xr3:uid="{A3EE0377-3EAD-4212-9018-C61FC105709F}" name="総数／事業所数" totalsRowFunction="custom" totalsRowDxfId="810" dataCellStyle="桁区切り" totalsRowCellStyle="桁区切り">
      <totalsRowFormula>SUM(LTBL_40202[総数／事業所数])</totalsRowFormula>
    </tableColumn>
    <tableColumn id="11" xr3:uid="{FF8B7B10-ECA9-4606-98F1-AD974293A3B7}" name="総数／構成比" dataDxfId="809"/>
    <tableColumn id="12" xr3:uid="{3716CF09-7BB4-4976-9FAC-27C299FB17CC}" name="個人／事業所数" totalsRowFunction="sum" totalsRowDxfId="808" dataCellStyle="桁区切り" totalsRowCellStyle="桁区切り"/>
    <tableColumn id="13" xr3:uid="{B39A716D-B57C-40E8-BFA9-004CB2C2A9FF}" name="個人／構成比" dataDxfId="807"/>
    <tableColumn id="14" xr3:uid="{6E34C070-7CA0-466E-9467-A6F72022059F}" name="法人／事業所数" totalsRowFunction="sum" totalsRowDxfId="806" dataCellStyle="桁区切り" totalsRowCellStyle="桁区切り"/>
    <tableColumn id="15" xr3:uid="{49295D0B-6B6A-40C0-BBBC-61FE936B6349}" name="法人／構成比" dataDxfId="805"/>
    <tableColumn id="16" xr3:uid="{C7F68EB2-10AF-49EE-A20A-A00C9FFDBC4B}" name="法人以外の団体／事業所数" totalsRowFunction="sum" totalsRowDxfId="804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20A33878-4523-4036-B6A4-BEFBE6C44DF7}" name="M_TABLE_40202" displayName="M_TABLE_40202" ref="B23:I43" totalsRowShown="0">
  <autoFilter ref="B23:I43" xr:uid="{20A33878-4523-4036-B6A4-BEFBE6C44DF7}"/>
  <tableColumns count="8">
    <tableColumn id="9" xr3:uid="{5016AF30-E6C2-4E01-B89D-6E4CA0794E55}" name="産業中分類上位２０"/>
    <tableColumn id="10" xr3:uid="{BF026BA9-96B9-44CD-A367-66FC4C35E869}" name="総数／事業所数" dataCellStyle="桁区切り"/>
    <tableColumn id="11" xr3:uid="{B6868427-C6F0-45DB-98A3-C4C87733D796}" name="総数／構成比" dataDxfId="803"/>
    <tableColumn id="12" xr3:uid="{C400C8D4-734D-4D5D-90F9-80FD39D79FF3}" name="個人／事業所数" dataCellStyle="桁区切り"/>
    <tableColumn id="13" xr3:uid="{3CB95C65-9C22-4B15-9960-03AC6522AB36}" name="個人／構成比" dataDxfId="802"/>
    <tableColumn id="14" xr3:uid="{0A501040-F17C-4C94-ACFA-F137B44CC88D}" name="法人／事業所数" dataCellStyle="桁区切り"/>
    <tableColumn id="15" xr3:uid="{292BD0C4-7152-4948-939F-67B2D97671A6}" name="法人／構成比" dataDxfId="801"/>
    <tableColumn id="16" xr3:uid="{4FAB761B-7D38-4E45-9046-634DDBA69990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1DEB8EB7-F6B5-4EEF-B2FE-57A2DCAFEECC}" name="S_TABLE_40202" displayName="S_TABLE_40202" ref="B46:I66" totalsRowShown="0">
  <autoFilter ref="B46:I66" xr:uid="{1DEB8EB7-F6B5-4EEF-B2FE-57A2DCAFEECC}"/>
  <tableColumns count="8">
    <tableColumn id="9" xr3:uid="{C1FC8984-3F0F-4D03-A59F-D159EA6F95D3}" name="産業小分類上位２０"/>
    <tableColumn id="10" xr3:uid="{73C698E2-0220-41B6-AF98-DC245A94DC0C}" name="総数／事業所数" dataCellStyle="桁区切り"/>
    <tableColumn id="11" xr3:uid="{26FDFA62-992A-45BB-9EBC-FCFB163D694B}" name="総数／構成比" dataDxfId="800"/>
    <tableColumn id="12" xr3:uid="{69631013-C9E5-4CC6-9061-28036D9CA2AB}" name="個人／事業所数" dataCellStyle="桁区切り"/>
    <tableColumn id="13" xr3:uid="{876E84D9-701A-496D-AE17-BCF052A93E97}" name="個人／構成比" dataDxfId="799"/>
    <tableColumn id="14" xr3:uid="{C71BDD58-50AD-44E8-8152-3674E1D4B304}" name="法人／事業所数" dataCellStyle="桁区切り"/>
    <tableColumn id="15" xr3:uid="{629F2EAC-F3C9-4277-B5D3-AB2EB09CA761}" name="法人／構成比" dataDxfId="798"/>
    <tableColumn id="16" xr3:uid="{59993014-681B-435F-89E7-3637378B0985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115393FB-DF58-4093-B1A2-5D3EE95E7DCE}" name="LTBL_40203" displayName="LTBL_40203" ref="B4:I20" totalsRowCount="1">
  <autoFilter ref="B4:I19" xr:uid="{115393FB-DF58-4093-B1A2-5D3EE95E7DCE}"/>
  <tableColumns count="8">
    <tableColumn id="9" xr3:uid="{7B79B91A-F4BA-4C69-B28A-6CE9D50582D9}" name="産業大分類" totalsRowLabel="合計" totalsRowDxfId="797"/>
    <tableColumn id="10" xr3:uid="{DDDF5092-C66A-437C-9F02-79C82AF949B2}" name="総数／事業所数" totalsRowFunction="custom" totalsRowDxfId="796" dataCellStyle="桁区切り" totalsRowCellStyle="桁区切り">
      <totalsRowFormula>SUM(LTBL_40203[総数／事業所数])</totalsRowFormula>
    </tableColumn>
    <tableColumn id="11" xr3:uid="{CA102305-FA99-4C3C-90AE-CEA6757427D9}" name="総数／構成比" dataDxfId="795"/>
    <tableColumn id="12" xr3:uid="{B8A1A802-546F-44B3-B68A-0E830E925B07}" name="個人／事業所数" totalsRowFunction="sum" totalsRowDxfId="794" dataCellStyle="桁区切り" totalsRowCellStyle="桁区切り"/>
    <tableColumn id="13" xr3:uid="{4EFE10D6-D150-4EE6-B713-E3394B587ACB}" name="個人／構成比" dataDxfId="793"/>
    <tableColumn id="14" xr3:uid="{751C2AA7-6E01-482A-9B04-FCF647DA5E88}" name="法人／事業所数" totalsRowFunction="sum" totalsRowDxfId="792" dataCellStyle="桁区切り" totalsRowCellStyle="桁区切り"/>
    <tableColumn id="15" xr3:uid="{902987C8-A071-43B9-8F18-AA6195EE8748}" name="法人／構成比" dataDxfId="791"/>
    <tableColumn id="16" xr3:uid="{7AAD2717-8706-4655-BF0B-CBA23BF3AB32}" name="法人以外の団体／事業所数" totalsRowFunction="sum" totalsRowDxfId="790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D3DF245F-9190-4762-AF95-29445F4B0B75}" name="M_TABLE_40203" displayName="M_TABLE_40203" ref="B23:I43" totalsRowShown="0">
  <autoFilter ref="B23:I43" xr:uid="{D3DF245F-9190-4762-AF95-29445F4B0B75}"/>
  <tableColumns count="8">
    <tableColumn id="9" xr3:uid="{F9AD3062-F345-4DEE-8408-68349097F856}" name="産業中分類上位２０"/>
    <tableColumn id="10" xr3:uid="{D227D34D-38FE-4898-A5D5-F349CFB5BD8C}" name="総数／事業所数" dataCellStyle="桁区切り"/>
    <tableColumn id="11" xr3:uid="{C186601C-F59A-4D82-B254-79BA4284B21C}" name="総数／構成比" dataDxfId="789"/>
    <tableColumn id="12" xr3:uid="{A7BCF97A-E699-4222-87EF-919C44CAB03E}" name="個人／事業所数" dataCellStyle="桁区切り"/>
    <tableColumn id="13" xr3:uid="{151391F9-A3A0-4C45-9882-EFF677336213}" name="個人／構成比" dataDxfId="788"/>
    <tableColumn id="14" xr3:uid="{6EDAF8CE-ACC5-48BC-962F-F3024FD97363}" name="法人／事業所数" dataCellStyle="桁区切り"/>
    <tableColumn id="15" xr3:uid="{AA25A452-31B8-4764-A23A-C4D293C0FA8D}" name="法人／構成比" dataDxfId="787"/>
    <tableColumn id="16" xr3:uid="{CF2BC076-7170-46BF-963D-B0155739DE4B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E1CD317-653D-4FFD-A989-5FFCE657867B}" name="S_TABLE_40203" displayName="S_TABLE_40203" ref="B46:I66" totalsRowShown="0">
  <autoFilter ref="B46:I66" xr:uid="{9E1CD317-653D-4FFD-A989-5FFCE657867B}"/>
  <tableColumns count="8">
    <tableColumn id="9" xr3:uid="{B336D8A5-06C8-4701-9F13-3D2CF3162239}" name="産業小分類上位２０"/>
    <tableColumn id="10" xr3:uid="{F66EE85C-A7DF-4FA4-A4B0-96BC035DD845}" name="総数／事業所数" dataCellStyle="桁区切り"/>
    <tableColumn id="11" xr3:uid="{17C0A5BF-C2A8-4134-BB1F-FA2EA2BBDD48}" name="総数／構成比" dataDxfId="786"/>
    <tableColumn id="12" xr3:uid="{D8C71D7A-B25B-42E3-95EC-FBDE3D98ED7B}" name="個人／事業所数" dataCellStyle="桁区切り"/>
    <tableColumn id="13" xr3:uid="{4807F626-C8D6-4E2A-B8F5-27F001360E91}" name="個人／構成比" dataDxfId="785"/>
    <tableColumn id="14" xr3:uid="{ED158E5F-5878-48CC-98B5-EBC8326BFF37}" name="法人／事業所数" dataCellStyle="桁区切り"/>
    <tableColumn id="15" xr3:uid="{A9E34EC5-F33A-47D6-B3DB-ED47A68A1164}" name="法人／構成比" dataDxfId="784"/>
    <tableColumn id="16" xr3:uid="{1736683E-443C-4425-957B-33843801EB5A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2B446799-616E-4A3D-9E61-ADF99E3B7496}" name="LTBL_40204" displayName="LTBL_40204" ref="B4:I20" totalsRowCount="1">
  <autoFilter ref="B4:I19" xr:uid="{2B446799-616E-4A3D-9E61-ADF99E3B7496}"/>
  <tableColumns count="8">
    <tableColumn id="9" xr3:uid="{A58B437B-2D3A-413F-BF30-3FAC0C573184}" name="産業大分類" totalsRowLabel="合計" totalsRowDxfId="783"/>
    <tableColumn id="10" xr3:uid="{BD0E63E3-F910-4EBF-A922-D8AB3D0D2132}" name="総数／事業所数" totalsRowFunction="custom" totalsRowDxfId="782" dataCellStyle="桁区切り" totalsRowCellStyle="桁区切り">
      <totalsRowFormula>SUM(LTBL_40204[総数／事業所数])</totalsRowFormula>
    </tableColumn>
    <tableColumn id="11" xr3:uid="{51F85174-1E08-4CE6-BA49-06045BFC1AF9}" name="総数／構成比" dataDxfId="781"/>
    <tableColumn id="12" xr3:uid="{C58BECFF-A3D9-4A11-A99D-CC772064C0E2}" name="個人／事業所数" totalsRowFunction="sum" totalsRowDxfId="780" dataCellStyle="桁区切り" totalsRowCellStyle="桁区切り"/>
    <tableColumn id="13" xr3:uid="{F3541E3C-1E39-4547-BFDF-AC9766B23EF5}" name="個人／構成比" dataDxfId="779"/>
    <tableColumn id="14" xr3:uid="{9D4DD944-E0CB-4DF5-BAAE-5FA70892799E}" name="法人／事業所数" totalsRowFunction="sum" totalsRowDxfId="778" dataCellStyle="桁区切り" totalsRowCellStyle="桁区切り"/>
    <tableColumn id="15" xr3:uid="{70B30D76-730E-4F82-8D34-F076FB49FB53}" name="法人／構成比" dataDxfId="777"/>
    <tableColumn id="16" xr3:uid="{1A216C51-3A38-41B5-91D5-8DB0F83C15A3}" name="法人以外の団体／事業所数" totalsRowFunction="sum" totalsRowDxfId="776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408A33F6-7F11-40CE-AFD5-B6AC1266725F}" name="M_TABLE_40204" displayName="M_TABLE_40204" ref="B23:I43" totalsRowShown="0">
  <autoFilter ref="B23:I43" xr:uid="{408A33F6-7F11-40CE-AFD5-B6AC1266725F}"/>
  <tableColumns count="8">
    <tableColumn id="9" xr3:uid="{214477F9-8E65-4815-9C4A-9CA272350409}" name="産業中分類上位２０"/>
    <tableColumn id="10" xr3:uid="{80233382-5248-46E6-85BF-43F957CBA104}" name="総数／事業所数" dataCellStyle="桁区切り"/>
    <tableColumn id="11" xr3:uid="{330E2096-6A8B-46A4-B778-28113DF88631}" name="総数／構成比" dataDxfId="775"/>
    <tableColumn id="12" xr3:uid="{76E07102-833F-4884-AE91-357E48F188D3}" name="個人／事業所数" dataCellStyle="桁区切り"/>
    <tableColumn id="13" xr3:uid="{F1913EEA-3232-4136-B53E-70D447474A7A}" name="個人／構成比" dataDxfId="774"/>
    <tableColumn id="14" xr3:uid="{98FC840E-2E36-4513-A269-B1174D975936}" name="法人／事業所数" dataCellStyle="桁区切り"/>
    <tableColumn id="15" xr3:uid="{1D9087C6-4962-4317-9683-259693ED08B2}" name="法人／構成比" dataDxfId="773"/>
    <tableColumn id="16" xr3:uid="{C8B78937-7DDA-40F3-B566-2D0FF477D8A3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9C834CB-2765-4176-AE79-3B90F3609E84}" name="S_TABLE_40100" displayName="S_TABLE_40100" ref="B46:I66" totalsRowShown="0">
  <autoFilter ref="B46:I66" xr:uid="{19C834CB-2765-4176-AE79-3B90F3609E84}"/>
  <tableColumns count="8">
    <tableColumn id="9" xr3:uid="{8CD2ADFB-89CE-4C7B-8B65-B81AEC6A61C6}" name="産業小分類上位２０"/>
    <tableColumn id="10" xr3:uid="{3A17C96D-EA6A-4C1C-BC8C-46919D9017D8}" name="総数／事業所数" dataCellStyle="桁区切り"/>
    <tableColumn id="11" xr3:uid="{7E787660-5B2B-40F9-9425-5180E9A0C407}" name="総数／構成比" dataDxfId="1024"/>
    <tableColumn id="12" xr3:uid="{8610F5F6-37BC-4EC4-A34E-CA3F7E6D1DB3}" name="個人／事業所数" dataCellStyle="桁区切り"/>
    <tableColumn id="13" xr3:uid="{3284AA7C-56CA-4FA5-9FEC-A59A610D7F21}" name="個人／構成比" dataDxfId="1023"/>
    <tableColumn id="14" xr3:uid="{28276C64-F307-4A1B-B6E9-9CC33EBCE857}" name="法人／事業所数" dataCellStyle="桁区切り"/>
    <tableColumn id="15" xr3:uid="{32710308-CAEC-43D5-95E3-8B72D0F3FB0C}" name="法人／構成比" dataDxfId="1022"/>
    <tableColumn id="16" xr3:uid="{0400C2D0-CC96-4680-B8E3-B2A217CF7F55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161EE08F-7849-43AD-8B13-FFD003D49759}" name="S_TABLE_40204" displayName="S_TABLE_40204" ref="B46:I68" totalsRowShown="0">
  <autoFilter ref="B46:I68" xr:uid="{161EE08F-7849-43AD-8B13-FFD003D49759}"/>
  <tableColumns count="8">
    <tableColumn id="9" xr3:uid="{4BA0862C-7889-45C1-9CED-EAE8DD75CFF6}" name="産業小分類上位２０"/>
    <tableColumn id="10" xr3:uid="{98031369-C1DA-4A0C-889E-F1F44C18AAB2}" name="総数／事業所数" dataCellStyle="桁区切り"/>
    <tableColumn id="11" xr3:uid="{21E7BFFE-F179-41E7-9783-093444AC8D4B}" name="総数／構成比" dataDxfId="772"/>
    <tableColumn id="12" xr3:uid="{2904D4B8-6F62-479F-9666-98DE0B73E0AD}" name="個人／事業所数" dataCellStyle="桁区切り"/>
    <tableColumn id="13" xr3:uid="{A9475C4D-09E8-461E-95DD-A01B0B5BA5B6}" name="個人／構成比" dataDxfId="771"/>
    <tableColumn id="14" xr3:uid="{0712A7A7-5196-4101-872C-EA7EE5F7DE7B}" name="法人／事業所数" dataCellStyle="桁区切り"/>
    <tableColumn id="15" xr3:uid="{D122EC24-8A13-4F14-A9C4-BD4E3512027C}" name="法人／構成比" dataDxfId="770"/>
    <tableColumn id="16" xr3:uid="{F3174693-C0C9-4A92-9FDF-02BD2038C448}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25A7DA0-FCF3-4B2A-89EE-E06CA13A56EE}" name="LTBL_40205" displayName="LTBL_40205" ref="B4:I20" totalsRowCount="1">
  <autoFilter ref="B4:I19" xr:uid="{025A7DA0-FCF3-4B2A-89EE-E06CA13A56EE}"/>
  <tableColumns count="8">
    <tableColumn id="9" xr3:uid="{C5CD9053-4A67-4C38-829B-43F0833A2376}" name="産業大分類" totalsRowLabel="合計" totalsRowDxfId="769"/>
    <tableColumn id="10" xr3:uid="{DFE18FAB-76CF-48EE-BF8A-6943991C5A6C}" name="総数／事業所数" totalsRowFunction="custom" totalsRowDxfId="768" dataCellStyle="桁区切り" totalsRowCellStyle="桁区切り">
      <totalsRowFormula>SUM(LTBL_40205[総数／事業所数])</totalsRowFormula>
    </tableColumn>
    <tableColumn id="11" xr3:uid="{A64DE4F6-EF41-4109-9CFA-AC0FE0F30612}" name="総数／構成比" dataDxfId="767"/>
    <tableColumn id="12" xr3:uid="{E4CC96E3-645A-4221-A23E-32F6D3017360}" name="個人／事業所数" totalsRowFunction="sum" totalsRowDxfId="766" dataCellStyle="桁区切り" totalsRowCellStyle="桁区切り"/>
    <tableColumn id="13" xr3:uid="{DFEC0BF9-8F3F-4289-B83D-7CF0E6F21526}" name="個人／構成比" dataDxfId="765"/>
    <tableColumn id="14" xr3:uid="{F66780CF-D7D8-4DEE-96D0-F120E061AD10}" name="法人／事業所数" totalsRowFunction="sum" totalsRowDxfId="764" dataCellStyle="桁区切り" totalsRowCellStyle="桁区切り"/>
    <tableColumn id="15" xr3:uid="{A621671E-5966-4DC9-8198-DDF1E64CB044}" name="法人／構成比" dataDxfId="763"/>
    <tableColumn id="16" xr3:uid="{1ED0FFD6-9559-456A-BFAE-4FF272B43077}" name="法人以外の団体／事業所数" totalsRowFunction="sum" totalsRowDxfId="762" dataCellStyle="桁区切り" totalsRow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66DCCBE-0DFE-4AF6-94B4-62D998E6AE08}" name="M_TABLE_40205" displayName="M_TABLE_40205" ref="B23:I44" totalsRowShown="0">
  <autoFilter ref="B23:I44" xr:uid="{066DCCBE-0DFE-4AF6-94B4-62D998E6AE08}"/>
  <tableColumns count="8">
    <tableColumn id="9" xr3:uid="{ED1D6606-7AAF-4C9D-85C3-35DBD261B8F5}" name="産業中分類上位２０"/>
    <tableColumn id="10" xr3:uid="{9581FF5D-E2C5-46EA-9FC8-8BF919F51E26}" name="総数／事業所数" dataCellStyle="桁区切り"/>
    <tableColumn id="11" xr3:uid="{550744F5-8B83-48BB-A56D-511FE452B37B}" name="総数／構成比" dataDxfId="761"/>
    <tableColumn id="12" xr3:uid="{8C3A1BE8-EFC1-4DCB-BA35-B64C72A3FE93}" name="個人／事業所数" dataCellStyle="桁区切り"/>
    <tableColumn id="13" xr3:uid="{51FB7BF9-C8EA-4955-9199-11E2D4CB19A2}" name="個人／構成比" dataDxfId="760"/>
    <tableColumn id="14" xr3:uid="{DC390EC4-CB70-4E1E-8D68-88601F4F8C2F}" name="法人／事業所数" dataCellStyle="桁区切り"/>
    <tableColumn id="15" xr3:uid="{CB9C9BAF-B917-4275-B93E-CFAF4B1D93D8}" name="法人／構成比" dataDxfId="759"/>
    <tableColumn id="16" xr3:uid="{B093FF55-1E3E-447A-A37D-610350EE14C6}" name="法人以外の団体／事業所数" dataCellStyle="桁区切り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5E4C2C29-3704-4DD8-80ED-3B002B108D69}" name="S_TABLE_40205" displayName="S_TABLE_40205" ref="B47:I67" totalsRowShown="0">
  <autoFilter ref="B47:I67" xr:uid="{5E4C2C29-3704-4DD8-80ED-3B002B108D69}"/>
  <tableColumns count="8">
    <tableColumn id="9" xr3:uid="{C0F39A33-E114-4647-B8A3-F97BEE3259D8}" name="産業小分類上位２０"/>
    <tableColumn id="10" xr3:uid="{5B6A81FD-6CF0-4CF0-BE62-D9AE4315A4EA}" name="総数／事業所数" dataCellStyle="桁区切り"/>
    <tableColumn id="11" xr3:uid="{30ECE797-CE9A-4775-8835-2687BC974F1A}" name="総数／構成比" dataDxfId="758"/>
    <tableColumn id="12" xr3:uid="{A15DB741-A405-4722-96C6-B9A167EC8A73}" name="個人／事業所数" dataCellStyle="桁区切り"/>
    <tableColumn id="13" xr3:uid="{A7CDE9B3-1535-4375-93CD-E1F58A93E82D}" name="個人／構成比" dataDxfId="757"/>
    <tableColumn id="14" xr3:uid="{E12E3AD6-18CC-4362-A39F-23842FB57760}" name="法人／事業所数" dataCellStyle="桁区切り"/>
    <tableColumn id="15" xr3:uid="{F73DCCB7-B4D4-4611-B886-B37031A7ED12}" name="法人／構成比" dataDxfId="756"/>
    <tableColumn id="16" xr3:uid="{E3DDBD88-76CB-4B15-A4C9-1EAB558ECB99}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9B6DB66A-F431-4C84-BCB8-4C8102410661}" name="LTBL_40206" displayName="LTBL_40206" ref="B4:I20" totalsRowCount="1">
  <autoFilter ref="B4:I19" xr:uid="{9B6DB66A-F431-4C84-BCB8-4C8102410661}"/>
  <tableColumns count="8">
    <tableColumn id="9" xr3:uid="{4F18A964-45C4-411D-B76E-EF30CC22BC45}" name="産業大分類" totalsRowLabel="合計" totalsRowDxfId="755"/>
    <tableColumn id="10" xr3:uid="{C46B3468-9DD7-448D-9EB9-6B73B23214FB}" name="総数／事業所数" totalsRowFunction="custom" totalsRowDxfId="754" dataCellStyle="桁区切り" totalsRowCellStyle="桁区切り">
      <totalsRowFormula>SUM(LTBL_40206[総数／事業所数])</totalsRowFormula>
    </tableColumn>
    <tableColumn id="11" xr3:uid="{47FDDFC0-2BED-4ABD-9031-36284FD8A60B}" name="総数／構成比" dataDxfId="753"/>
    <tableColumn id="12" xr3:uid="{E38B676F-256B-434D-9711-A38F82874F5B}" name="個人／事業所数" totalsRowFunction="sum" totalsRowDxfId="752" dataCellStyle="桁区切り" totalsRowCellStyle="桁区切り"/>
    <tableColumn id="13" xr3:uid="{6E22B834-0CF5-45E8-99F3-3EDD5517DB8A}" name="個人／構成比" dataDxfId="751"/>
    <tableColumn id="14" xr3:uid="{F8269576-BA1B-484D-8313-AC16E3F86136}" name="法人／事業所数" totalsRowFunction="sum" totalsRowDxfId="750" dataCellStyle="桁区切り" totalsRowCellStyle="桁区切り"/>
    <tableColumn id="15" xr3:uid="{59E81518-450A-47C9-9E2D-A0A05A399577}" name="法人／構成比" dataDxfId="749"/>
    <tableColumn id="16" xr3:uid="{3F78A112-2B29-4874-97B6-68931C10421F}" name="法人以外の団体／事業所数" totalsRowFunction="sum" totalsRowDxfId="748" dataCellStyle="桁区切り" totalsRow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A13640EB-88FD-49A2-86D0-DFF7D04AF483}" name="M_TABLE_40206" displayName="M_TABLE_40206" ref="B23:I43" totalsRowShown="0">
  <autoFilter ref="B23:I43" xr:uid="{A13640EB-88FD-49A2-86D0-DFF7D04AF483}"/>
  <tableColumns count="8">
    <tableColumn id="9" xr3:uid="{E5ED32E8-A402-43B2-8436-335E0DDBC8F2}" name="産業中分類上位２０"/>
    <tableColumn id="10" xr3:uid="{2050E116-B687-43FA-A0FF-AF5F684879B8}" name="総数／事業所数" dataCellStyle="桁区切り"/>
    <tableColumn id="11" xr3:uid="{BD6FF598-3186-4872-B29D-5A2810E5669F}" name="総数／構成比" dataDxfId="747"/>
    <tableColumn id="12" xr3:uid="{441E598A-0D8D-4791-B9F2-6F9FF09FA882}" name="個人／事業所数" dataCellStyle="桁区切り"/>
    <tableColumn id="13" xr3:uid="{3F008E58-FFEA-4068-99D6-DFB9CD29CB47}" name="個人／構成比" dataDxfId="746"/>
    <tableColumn id="14" xr3:uid="{981905E5-CE73-4ABE-BBE3-3A105AAAE4A2}" name="法人／事業所数" dataCellStyle="桁区切り"/>
    <tableColumn id="15" xr3:uid="{3E97519C-E8E8-4FAE-8C1E-A72E6DE1EEAB}" name="法人／構成比" dataDxfId="745"/>
    <tableColumn id="16" xr3:uid="{672022ED-6CF2-4348-95B8-9F11CFC0728E}" name="法人以外の団体／事業所数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918910A1-E089-4505-8976-BBAE5256361B}" name="S_TABLE_40206" displayName="S_TABLE_40206" ref="B46:I66" totalsRowShown="0">
  <autoFilter ref="B46:I66" xr:uid="{918910A1-E089-4505-8976-BBAE5256361B}"/>
  <tableColumns count="8">
    <tableColumn id="9" xr3:uid="{74F94262-1C74-4535-BDFD-58D85620D94D}" name="産業小分類上位２０"/>
    <tableColumn id="10" xr3:uid="{CB29F1F6-0D07-440B-8206-A2793077CE5F}" name="総数／事業所数" dataCellStyle="桁区切り"/>
    <tableColumn id="11" xr3:uid="{C2BA3FB9-11AE-4E19-B95D-6C2228C9C2BF}" name="総数／構成比" dataDxfId="744"/>
    <tableColumn id="12" xr3:uid="{D18A00CE-0B1A-4332-A5E8-B07504C345C8}" name="個人／事業所数" dataCellStyle="桁区切り"/>
    <tableColumn id="13" xr3:uid="{FBF044FF-6F9D-41EE-B010-EA2B2517CCEC}" name="個人／構成比" dataDxfId="743"/>
    <tableColumn id="14" xr3:uid="{1F8199F4-8A85-475A-B033-27EE5E935562}" name="法人／事業所数" dataCellStyle="桁区切り"/>
    <tableColumn id="15" xr3:uid="{DF4D821B-1F6B-4892-B256-07883BFB85EA}" name="法人／構成比" dataDxfId="742"/>
    <tableColumn id="16" xr3:uid="{1763A3EC-ED37-4AFD-A7D1-EB7D66AD3DAE}" name="法人以外の団体／事業所数" dataCellStyle="桁区切り"/>
  </tableColumns>
  <tableStyleInfo name="TableStyleMedium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9C32245C-4FB2-491F-BC49-9F920354C4ED}" name="LTBL_40207" displayName="LTBL_40207" ref="B4:I20" totalsRowCount="1">
  <autoFilter ref="B4:I19" xr:uid="{9C32245C-4FB2-491F-BC49-9F920354C4ED}"/>
  <tableColumns count="8">
    <tableColumn id="9" xr3:uid="{05EC6755-ABC7-4149-A613-436C3338A937}" name="産業大分類" totalsRowLabel="合計" totalsRowDxfId="741"/>
    <tableColumn id="10" xr3:uid="{CEF8A320-B517-4D67-8440-BEA2B1625187}" name="総数／事業所数" totalsRowFunction="custom" totalsRowDxfId="740" dataCellStyle="桁区切り" totalsRowCellStyle="桁区切り">
      <totalsRowFormula>SUM(LTBL_40207[総数／事業所数])</totalsRowFormula>
    </tableColumn>
    <tableColumn id="11" xr3:uid="{800DE801-99BE-41A5-8D33-F8B45D018F1F}" name="総数／構成比" dataDxfId="739"/>
    <tableColumn id="12" xr3:uid="{06A7CD44-EEB4-4C46-B630-5E8BDDFE564D}" name="個人／事業所数" totalsRowFunction="sum" totalsRowDxfId="738" dataCellStyle="桁区切り" totalsRowCellStyle="桁区切り"/>
    <tableColumn id="13" xr3:uid="{1FA02601-2A2E-4C1C-B397-99B45E68BA5E}" name="個人／構成比" dataDxfId="737"/>
    <tableColumn id="14" xr3:uid="{94DB28A1-60E7-41A6-91AF-56B6E70FD7D6}" name="法人／事業所数" totalsRowFunction="sum" totalsRowDxfId="736" dataCellStyle="桁区切り" totalsRowCellStyle="桁区切り"/>
    <tableColumn id="15" xr3:uid="{EC00D41E-690F-4289-A3A7-B17501406EEF}" name="法人／構成比" dataDxfId="735"/>
    <tableColumn id="16" xr3:uid="{AF978D40-21EF-474C-851D-FB4259F09ACC}" name="法人以外の団体／事業所数" totalsRowFunction="sum" totalsRowDxfId="734" dataCellStyle="桁区切り" totalsRow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6F801DA7-4EF7-4C7A-A7A1-7BDD5956709F}" name="M_TABLE_40207" displayName="M_TABLE_40207" ref="B23:I44" totalsRowShown="0">
  <autoFilter ref="B23:I44" xr:uid="{6F801DA7-4EF7-4C7A-A7A1-7BDD5956709F}"/>
  <tableColumns count="8">
    <tableColumn id="9" xr3:uid="{361BF269-A798-446B-BB56-11B05004ACD5}" name="産業中分類上位２０"/>
    <tableColumn id="10" xr3:uid="{98FB3189-09AC-4EEA-BC9C-47C249D9553D}" name="総数／事業所数" dataCellStyle="桁区切り"/>
    <tableColumn id="11" xr3:uid="{16C1F2B9-A423-4B84-B0A4-07EDD466C828}" name="総数／構成比" dataDxfId="733"/>
    <tableColumn id="12" xr3:uid="{3C787054-AC62-4541-9FF1-B15762C59B7A}" name="個人／事業所数" dataCellStyle="桁区切り"/>
    <tableColumn id="13" xr3:uid="{33A6BF75-801C-4229-860D-6161DC088A9F}" name="個人／構成比" dataDxfId="732"/>
    <tableColumn id="14" xr3:uid="{CDDD2DC7-8418-48E8-B242-EBECB74A228B}" name="法人／事業所数" dataCellStyle="桁区切り"/>
    <tableColumn id="15" xr3:uid="{9795CBFC-F5DF-414B-AB6B-C74EEFF035EB}" name="法人／構成比" dataDxfId="731"/>
    <tableColumn id="16" xr3:uid="{9656702A-C79B-44E7-B3F8-E97F97E4EEFF}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9E7FD447-B096-4597-B275-8DE978240F8F}" name="S_TABLE_40207" displayName="S_TABLE_40207" ref="B47:I67" totalsRowShown="0">
  <autoFilter ref="B47:I67" xr:uid="{9E7FD447-B096-4597-B275-8DE978240F8F}"/>
  <tableColumns count="8">
    <tableColumn id="9" xr3:uid="{89F62A50-27D9-4FDE-924E-BF00B16BA431}" name="産業小分類上位２０"/>
    <tableColumn id="10" xr3:uid="{2C91373E-194C-48CF-BB5C-2EF70747F215}" name="総数／事業所数" dataCellStyle="桁区切り"/>
    <tableColumn id="11" xr3:uid="{8CBD8D08-5523-429E-BE1B-8DA4FC2C7F02}" name="総数／構成比" dataDxfId="730"/>
    <tableColumn id="12" xr3:uid="{ECC6C2B4-D5CC-4DCE-9929-56B8B4968ACC}" name="個人／事業所数" dataCellStyle="桁区切り"/>
    <tableColumn id="13" xr3:uid="{495F6B9B-A75B-43FD-8729-E131489DDDAF}" name="個人／構成比" dataDxfId="729"/>
    <tableColumn id="14" xr3:uid="{CFCD6479-8C8C-4ABC-9E29-0452F7B27A2D}" name="法人／事業所数" dataCellStyle="桁区切り"/>
    <tableColumn id="15" xr3:uid="{A6CD05A9-E979-42EC-922C-A4C7EB3A53A4}" name="法人／構成比" dataDxfId="728"/>
    <tableColumn id="16" xr3:uid="{56086FB0-C177-4428-A68F-82D5BC7FEB49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4B2BEFB-D1C1-46DC-98E2-39DC80706414}" name="LTBL_40101" displayName="LTBL_40101" ref="B4:I20" totalsRowCount="1">
  <autoFilter ref="B4:I19" xr:uid="{34B2BEFB-D1C1-46DC-98E2-39DC80706414}"/>
  <tableColumns count="8">
    <tableColumn id="9" xr3:uid="{40448DF1-A5D3-4FC9-B3A5-4AFFFB73E2C1}" name="産業大分類" totalsRowLabel="合計" totalsRowDxfId="1021"/>
    <tableColumn id="10" xr3:uid="{F0F8AB64-1E70-4B30-9CF8-58D77FD546D7}" name="総数／事業所数" totalsRowFunction="custom" totalsRowDxfId="1020" dataCellStyle="桁区切り" totalsRowCellStyle="桁区切り">
      <totalsRowFormula>SUM(LTBL_40101[総数／事業所数])</totalsRowFormula>
    </tableColumn>
    <tableColumn id="11" xr3:uid="{8ED6BAB6-4CCB-495C-AD87-DABE42FDDE07}" name="総数／構成比" dataDxfId="1019"/>
    <tableColumn id="12" xr3:uid="{F413A356-D92D-4FBA-8BCD-E9ED769500FE}" name="個人／事業所数" totalsRowFunction="sum" totalsRowDxfId="1018" dataCellStyle="桁区切り" totalsRowCellStyle="桁区切り"/>
    <tableColumn id="13" xr3:uid="{BCD57792-1094-495F-AE1E-F01CD8953B7B}" name="個人／構成比" dataDxfId="1017"/>
    <tableColumn id="14" xr3:uid="{95079C7E-66B8-4E76-8EB3-FEC883280DE3}" name="法人／事業所数" totalsRowFunction="sum" totalsRowDxfId="1016" dataCellStyle="桁区切り" totalsRowCellStyle="桁区切り"/>
    <tableColumn id="15" xr3:uid="{929FFCB4-F258-4830-A497-3B4609EBA13E}" name="法人／構成比" dataDxfId="1015"/>
    <tableColumn id="16" xr3:uid="{3F15704D-8357-4B68-AE43-B82F033B8D98}" name="法人以外の団体／事業所数" totalsRowFunction="sum" totalsRowDxfId="1014" dataCellStyle="桁区切り" totalsRow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7AF5FCA2-BA81-4F4D-9B86-6FB46BB07FFA}" name="LTBL_40210" displayName="LTBL_40210" ref="B4:I20" totalsRowCount="1">
  <autoFilter ref="B4:I19" xr:uid="{7AF5FCA2-BA81-4F4D-9B86-6FB46BB07FFA}"/>
  <tableColumns count="8">
    <tableColumn id="9" xr3:uid="{C9161E2B-3908-430A-AAD1-643B7951423C}" name="産業大分類" totalsRowLabel="合計" totalsRowDxfId="727"/>
    <tableColumn id="10" xr3:uid="{64F557D9-195A-43E3-882F-1DDC700B1D08}" name="総数／事業所数" totalsRowFunction="custom" totalsRowDxfId="726" dataCellStyle="桁区切り" totalsRowCellStyle="桁区切り">
      <totalsRowFormula>SUM(LTBL_40210[総数／事業所数])</totalsRowFormula>
    </tableColumn>
    <tableColumn id="11" xr3:uid="{C715077E-8F4F-4365-A10F-33FA3936B02C}" name="総数／構成比" dataDxfId="725"/>
    <tableColumn id="12" xr3:uid="{5112EE01-83AD-4D3B-B381-9E46806E0D9D}" name="個人／事業所数" totalsRowFunction="sum" totalsRowDxfId="724" dataCellStyle="桁区切り" totalsRowCellStyle="桁区切り"/>
    <tableColumn id="13" xr3:uid="{FFEBC26F-01BA-4733-84D0-6DD8333AAC2A}" name="個人／構成比" dataDxfId="723"/>
    <tableColumn id="14" xr3:uid="{4646CF9A-79E4-49DA-A65F-78AFB4153DD5}" name="法人／事業所数" totalsRowFunction="sum" totalsRowDxfId="722" dataCellStyle="桁区切り" totalsRowCellStyle="桁区切り"/>
    <tableColumn id="15" xr3:uid="{9621875A-BE22-4AB4-8DAB-E7FE2B4CDB0F}" name="法人／構成比" dataDxfId="721"/>
    <tableColumn id="16" xr3:uid="{76FFFAB0-8C35-44F1-ABCD-872C595A749F}" name="法人以外の団体／事業所数" totalsRowFunction="sum" totalsRowDxfId="720" dataCellStyle="桁区切り" totalsRowCellStyle="桁区切り"/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20AD99E7-26C3-4939-9F8A-9DFCF42D706E}" name="M_TABLE_40210" displayName="M_TABLE_40210" ref="B23:I43" totalsRowShown="0">
  <autoFilter ref="B23:I43" xr:uid="{20AD99E7-26C3-4939-9F8A-9DFCF42D706E}"/>
  <tableColumns count="8">
    <tableColumn id="9" xr3:uid="{615C27AD-1E0E-473C-8E3B-050F92942DAC}" name="産業中分類上位２０"/>
    <tableColumn id="10" xr3:uid="{E9186AE1-38A7-4905-AD61-C1EA89A9630D}" name="総数／事業所数" dataCellStyle="桁区切り"/>
    <tableColumn id="11" xr3:uid="{D7B76608-965B-4F5F-AC26-695349F1B2DF}" name="総数／構成比" dataDxfId="719"/>
    <tableColumn id="12" xr3:uid="{8F06724E-1BB5-4118-ACA4-C06FAA1E89EB}" name="個人／事業所数" dataCellStyle="桁区切り"/>
    <tableColumn id="13" xr3:uid="{E01DF88D-A2CC-4E27-8C0B-0BE724D702A1}" name="個人／構成比" dataDxfId="718"/>
    <tableColumn id="14" xr3:uid="{FC3661C7-7FC9-43DE-9659-2A056416A486}" name="法人／事業所数" dataCellStyle="桁区切り"/>
    <tableColumn id="15" xr3:uid="{2A2B4A9B-14F3-45DE-96EE-F70E0EEC9DC5}" name="法人／構成比" dataDxfId="717"/>
    <tableColumn id="16" xr3:uid="{6AB0FB67-7D38-47E9-A795-81336D66CEEF}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F413919B-6DF5-4A1C-9F9C-BB53B89BEA1C}" name="S_TABLE_40210" displayName="S_TABLE_40210" ref="B46:I67" totalsRowShown="0">
  <autoFilter ref="B46:I67" xr:uid="{F413919B-6DF5-4A1C-9F9C-BB53B89BEA1C}"/>
  <tableColumns count="8">
    <tableColumn id="9" xr3:uid="{1B6C7FD6-4119-4A67-A49A-1479E7DA915B}" name="産業小分類上位２０"/>
    <tableColumn id="10" xr3:uid="{4F83F5A0-C711-49E3-AD2B-97884D50E57F}" name="総数／事業所数" dataCellStyle="桁区切り"/>
    <tableColumn id="11" xr3:uid="{6A4AD2B1-E6A1-4BB6-B5B5-68F2C3D14384}" name="総数／構成比" dataDxfId="716"/>
    <tableColumn id="12" xr3:uid="{1C7B74B7-B6D5-45AE-8774-BD308542D1B4}" name="個人／事業所数" dataCellStyle="桁区切り"/>
    <tableColumn id="13" xr3:uid="{012483CE-3F69-49C3-9EA8-6F19D15DDC60}" name="個人／構成比" dataDxfId="715"/>
    <tableColumn id="14" xr3:uid="{48F312EE-D62A-4C3A-AB4D-1EA472949248}" name="法人／事業所数" dataCellStyle="桁区切り"/>
    <tableColumn id="15" xr3:uid="{9D6506DE-03E6-4FE4-9E47-C4985C72005D}" name="法人／構成比" dataDxfId="714"/>
    <tableColumn id="16" xr3:uid="{53325F71-EDBF-4184-8805-B2678646CA16}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9FEC3D74-7E0E-4C40-A05A-1DBF155DC9FA}" name="LTBL_40211" displayName="LTBL_40211" ref="B4:I20" totalsRowCount="1">
  <autoFilter ref="B4:I19" xr:uid="{9FEC3D74-7E0E-4C40-A05A-1DBF155DC9FA}"/>
  <tableColumns count="8">
    <tableColumn id="9" xr3:uid="{8B2BC427-9638-49D1-A924-4D8EB36F3CDF}" name="産業大分類" totalsRowLabel="合計" totalsRowDxfId="713"/>
    <tableColumn id="10" xr3:uid="{B4F617F8-64C0-4184-A570-463C33E0CAA8}" name="総数／事業所数" totalsRowFunction="custom" totalsRowDxfId="712" dataCellStyle="桁区切り" totalsRowCellStyle="桁区切り">
      <totalsRowFormula>SUM(LTBL_40211[総数／事業所数])</totalsRowFormula>
    </tableColumn>
    <tableColumn id="11" xr3:uid="{4767FD2D-5358-4118-A58E-9A6468E7BA95}" name="総数／構成比" dataDxfId="711"/>
    <tableColumn id="12" xr3:uid="{403B04BB-28F9-4984-944C-9D73E5C97200}" name="個人／事業所数" totalsRowFunction="sum" totalsRowDxfId="710" dataCellStyle="桁区切り" totalsRowCellStyle="桁区切り"/>
    <tableColumn id="13" xr3:uid="{10BB3EBE-2C15-4982-B159-DF39C957B4CF}" name="個人／構成比" dataDxfId="709"/>
    <tableColumn id="14" xr3:uid="{69B833E2-863C-4630-B304-ED5F9FB7D827}" name="法人／事業所数" totalsRowFunction="sum" totalsRowDxfId="708" dataCellStyle="桁区切り" totalsRowCellStyle="桁区切り"/>
    <tableColumn id="15" xr3:uid="{5B765196-DB84-440F-9B65-9015611AD3A2}" name="法人／構成比" dataDxfId="707"/>
    <tableColumn id="16" xr3:uid="{780C650E-B7FA-4CF5-8CC7-8E3B2C057DF5}" name="法人以外の団体／事業所数" totalsRowFunction="sum" totalsRowDxfId="706" dataCellStyle="桁区切り" totalsRow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36AB4CA1-B18C-4E02-A1E1-5907790DF7A8}" name="M_TABLE_40211" displayName="M_TABLE_40211" ref="B23:I43" totalsRowShown="0">
  <autoFilter ref="B23:I43" xr:uid="{36AB4CA1-B18C-4E02-A1E1-5907790DF7A8}"/>
  <tableColumns count="8">
    <tableColumn id="9" xr3:uid="{AA8F9C1C-6A8E-4995-B306-5751F9DDEB67}" name="産業中分類上位２０"/>
    <tableColumn id="10" xr3:uid="{91050BC8-054D-460B-B0C7-FC26187AFD0A}" name="総数／事業所数" dataCellStyle="桁区切り"/>
    <tableColumn id="11" xr3:uid="{6977056D-180D-4DCB-9099-4C426D0326E4}" name="総数／構成比" dataDxfId="705"/>
    <tableColumn id="12" xr3:uid="{5992AE7B-05E9-46B6-BB76-69EE4FB01B70}" name="個人／事業所数" dataCellStyle="桁区切り"/>
    <tableColumn id="13" xr3:uid="{11477A8E-791B-40D4-8CD1-B55A7086CE48}" name="個人／構成比" dataDxfId="704"/>
    <tableColumn id="14" xr3:uid="{B25A1EFC-254B-4DAD-BCC6-FA43095C851A}" name="法人／事業所数" dataCellStyle="桁区切り"/>
    <tableColumn id="15" xr3:uid="{D47F12F6-CE6B-4F79-B7C4-7EA4C7CE278D}" name="法人／構成比" dataDxfId="703"/>
    <tableColumn id="16" xr3:uid="{2E329DD8-8532-4B1F-B139-59713E08344F}" name="法人以外の団体／事業所数" dataCellStyle="桁区切り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6469AF45-D128-45C0-A464-520D6BE4C32E}" name="S_TABLE_40211" displayName="S_TABLE_40211" ref="B46:I66" totalsRowShown="0">
  <autoFilter ref="B46:I66" xr:uid="{6469AF45-D128-45C0-A464-520D6BE4C32E}"/>
  <tableColumns count="8">
    <tableColumn id="9" xr3:uid="{0A19C865-DA53-4893-A643-21AFC7BC5F11}" name="産業小分類上位２０"/>
    <tableColumn id="10" xr3:uid="{269A4A8E-44B1-4DD6-8C2C-1B07E7B2D242}" name="総数／事業所数" dataCellStyle="桁区切り"/>
    <tableColumn id="11" xr3:uid="{2A9744D9-FC82-4128-BA6E-9398D4A4619A}" name="総数／構成比" dataDxfId="702"/>
    <tableColumn id="12" xr3:uid="{2D1B851D-B605-4488-ABA4-08B76E6CA454}" name="個人／事業所数" dataCellStyle="桁区切り"/>
    <tableColumn id="13" xr3:uid="{C442710E-2315-409A-87C4-226EA6CF3E34}" name="個人／構成比" dataDxfId="701"/>
    <tableColumn id="14" xr3:uid="{614FF640-9EDA-46BC-9306-0092EFB2D144}" name="法人／事業所数" dataCellStyle="桁区切り"/>
    <tableColumn id="15" xr3:uid="{0F900798-8A95-4A9E-824E-6F2A8FD00A08}" name="法人／構成比" dataDxfId="700"/>
    <tableColumn id="16" xr3:uid="{28D5252D-0374-49FA-9E48-BE9AC233EBD6}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3EBD191-7CB4-4E88-BF63-934FDEE9CCD5}" name="LTBL_40212" displayName="LTBL_40212" ref="B4:I20" totalsRowCount="1">
  <autoFilter ref="B4:I19" xr:uid="{03EBD191-7CB4-4E88-BF63-934FDEE9CCD5}"/>
  <tableColumns count="8">
    <tableColumn id="9" xr3:uid="{CBDD5840-67EE-4087-B544-2D490A0F7D50}" name="産業大分類" totalsRowLabel="合計" totalsRowDxfId="699"/>
    <tableColumn id="10" xr3:uid="{0D046F6E-5762-4FFF-84A6-DDDD73EF2FC2}" name="総数／事業所数" totalsRowFunction="custom" totalsRowDxfId="698" dataCellStyle="桁区切り" totalsRowCellStyle="桁区切り">
      <totalsRowFormula>SUM(LTBL_40212[総数／事業所数])</totalsRowFormula>
    </tableColumn>
    <tableColumn id="11" xr3:uid="{F9BA074A-6797-4FBC-A81A-4A3CE685B635}" name="総数／構成比" dataDxfId="697"/>
    <tableColumn id="12" xr3:uid="{3EFFFA69-13C2-43F6-BBAE-89BB1BAAEFAA}" name="個人／事業所数" totalsRowFunction="sum" totalsRowDxfId="696" dataCellStyle="桁区切り" totalsRowCellStyle="桁区切り"/>
    <tableColumn id="13" xr3:uid="{4B3F7857-32F3-41C7-ABF0-6D2EF07BF5CB}" name="個人／構成比" dataDxfId="695"/>
    <tableColumn id="14" xr3:uid="{3FB9504A-39EC-4B93-9DAD-A8EA236E54F7}" name="法人／事業所数" totalsRowFunction="sum" totalsRowDxfId="694" dataCellStyle="桁区切り" totalsRowCellStyle="桁区切り"/>
    <tableColumn id="15" xr3:uid="{04586EC5-240E-4E20-9339-7C597E74A2BA}" name="法人／構成比" dataDxfId="693"/>
    <tableColumn id="16" xr3:uid="{1A76113A-50AA-4735-9139-CE2A18E6F7E3}" name="法人以外の団体／事業所数" totalsRowFunction="sum" totalsRowDxfId="692" dataCellStyle="桁区切り" totalsRow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B840FE46-5AF3-481A-9FA3-EC76B7CD62E4}" name="M_TABLE_40212" displayName="M_TABLE_40212" ref="B23:I43" totalsRowShown="0">
  <autoFilter ref="B23:I43" xr:uid="{B840FE46-5AF3-481A-9FA3-EC76B7CD62E4}"/>
  <tableColumns count="8">
    <tableColumn id="9" xr3:uid="{2F621669-E954-4502-9982-48112897BA61}" name="産業中分類上位２０"/>
    <tableColumn id="10" xr3:uid="{724927C4-4109-4BB7-8DFA-1685B8AC99A5}" name="総数／事業所数" dataCellStyle="桁区切り"/>
    <tableColumn id="11" xr3:uid="{768CAD70-C9F0-4E1B-ADC6-9F172D77DB34}" name="総数／構成比" dataDxfId="691"/>
    <tableColumn id="12" xr3:uid="{73360969-B94C-4E31-B8E3-5A9B11EBDC73}" name="個人／事業所数" dataCellStyle="桁区切り"/>
    <tableColumn id="13" xr3:uid="{D857D0C5-8E96-4E3F-9570-983034691BC0}" name="個人／構成比" dataDxfId="690"/>
    <tableColumn id="14" xr3:uid="{74E02C8E-FA8D-4D9A-960B-2C4D9E1AB3B1}" name="法人／事業所数" dataCellStyle="桁区切り"/>
    <tableColumn id="15" xr3:uid="{7F97D4B1-3C7C-475E-97B6-33F08541AA26}" name="法人／構成比" dataDxfId="689"/>
    <tableColumn id="16" xr3:uid="{BBD28BEF-D669-4FA6-A0B0-30BF73BA3CA7}" name="法人以外の団体／事業所数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CD436C36-AC42-41C7-BDB1-7FAC7CB62A1C}" name="S_TABLE_40212" displayName="S_TABLE_40212" ref="B46:I66" totalsRowShown="0">
  <autoFilter ref="B46:I66" xr:uid="{CD436C36-AC42-41C7-BDB1-7FAC7CB62A1C}"/>
  <tableColumns count="8">
    <tableColumn id="9" xr3:uid="{4126EC9F-DDFC-458F-AAF5-AD8B68FD756E}" name="産業小分類上位２０"/>
    <tableColumn id="10" xr3:uid="{6882E63F-59DD-4FD5-A01F-4EFE73420144}" name="総数／事業所数" dataCellStyle="桁区切り"/>
    <tableColumn id="11" xr3:uid="{D9C9E51D-ACC9-4089-9BB7-6B93B59336A2}" name="総数／構成比" dataDxfId="688"/>
    <tableColumn id="12" xr3:uid="{D9A52B8E-7206-480D-838F-4549029F5606}" name="個人／事業所数" dataCellStyle="桁区切り"/>
    <tableColumn id="13" xr3:uid="{51E0DDF3-BF9A-40DA-B09B-D9FCA45AECBD}" name="個人／構成比" dataDxfId="687"/>
    <tableColumn id="14" xr3:uid="{13F07819-3D15-4DE0-87C2-29F2DAB46EE4}" name="法人／事業所数" dataCellStyle="桁区切り"/>
    <tableColumn id="15" xr3:uid="{7D5B997C-9FFD-46EF-9F4B-9B6349E3CCDA}" name="法人／構成比" dataDxfId="686"/>
    <tableColumn id="16" xr3:uid="{D8EF450D-73F8-4E27-86EC-1540B4C5FF80}" name="法人以外の団体／事業所数" dataCellStyle="桁区切り"/>
  </tableColumns>
  <tableStyleInfo name="TableStyleMedium9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31D2ABC5-B849-4B3E-AD28-390FE4083CCE}" name="LTBL_40213" displayName="LTBL_40213" ref="B4:I20" totalsRowCount="1">
  <autoFilter ref="B4:I19" xr:uid="{31D2ABC5-B849-4B3E-AD28-390FE4083CCE}"/>
  <tableColumns count="8">
    <tableColumn id="9" xr3:uid="{2CA22431-B291-4E9E-B9BE-0D9A60DEFEB4}" name="産業大分類" totalsRowLabel="合計" totalsRowDxfId="685"/>
    <tableColumn id="10" xr3:uid="{77EDBE99-5425-4F80-8447-1F53728315F5}" name="総数／事業所数" totalsRowFunction="custom" totalsRowDxfId="684" dataCellStyle="桁区切り" totalsRowCellStyle="桁区切り">
      <totalsRowFormula>SUM(LTBL_40213[総数／事業所数])</totalsRowFormula>
    </tableColumn>
    <tableColumn id="11" xr3:uid="{31B8017D-2D49-436F-951B-A2CB0475FEC6}" name="総数／構成比" dataDxfId="683"/>
    <tableColumn id="12" xr3:uid="{051B043A-8CDE-4198-BF82-76790F00FD71}" name="個人／事業所数" totalsRowFunction="sum" totalsRowDxfId="682" dataCellStyle="桁区切り" totalsRowCellStyle="桁区切り"/>
    <tableColumn id="13" xr3:uid="{A6FD445D-2150-4BDD-B291-F3874CD4D58E}" name="個人／構成比" dataDxfId="681"/>
    <tableColumn id="14" xr3:uid="{6C23FEA4-0D4D-4309-A966-C6FC5070D4CE}" name="法人／事業所数" totalsRowFunction="sum" totalsRowDxfId="680" dataCellStyle="桁区切り" totalsRowCellStyle="桁区切り"/>
    <tableColumn id="15" xr3:uid="{3510AECD-DF6F-4023-A551-A6DE4D14EE99}" name="法人／構成比" dataDxfId="679"/>
    <tableColumn id="16" xr3:uid="{25425909-577A-4ED5-A592-F2D797394E63}" name="法人以外の団体／事業所数" totalsRowFunction="sum" totalsRowDxfId="678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0944B70-E6BA-4C1C-A5CC-7E826AD93BB0}" name="M_TABLE_40101" displayName="M_TABLE_40101" ref="B23:I44" totalsRowShown="0">
  <autoFilter ref="B23:I44" xr:uid="{D0944B70-E6BA-4C1C-A5CC-7E826AD93BB0}"/>
  <tableColumns count="8">
    <tableColumn id="9" xr3:uid="{F28D8323-C5B2-4DCF-806A-DB88058BAB6C}" name="産業中分類上位２０"/>
    <tableColumn id="10" xr3:uid="{341D4563-8456-4E9E-813F-09798D863A6F}" name="総数／事業所数" dataCellStyle="桁区切り"/>
    <tableColumn id="11" xr3:uid="{CC5D1168-8B67-4AA6-89B3-8A568A156E6E}" name="総数／構成比" dataDxfId="1013"/>
    <tableColumn id="12" xr3:uid="{9B4F12E1-B1AE-4001-AEE6-2AC32F5CFF7A}" name="個人／事業所数" dataCellStyle="桁区切り"/>
    <tableColumn id="13" xr3:uid="{09135590-D29A-4708-B3A2-10ACAD4DBC57}" name="個人／構成比" dataDxfId="1012"/>
    <tableColumn id="14" xr3:uid="{5458DFEC-EB8B-40B9-BBAF-7C98448193F2}" name="法人／事業所数" dataCellStyle="桁区切り"/>
    <tableColumn id="15" xr3:uid="{5E3E0EBD-BEC6-4265-8D97-C95CC8D2B947}" name="法人／構成比" dataDxfId="1011"/>
    <tableColumn id="16" xr3:uid="{E048F816-C057-408F-8270-566E91D9D184}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4F0050E3-22F7-4405-B4EE-2DC919822A20}" name="M_TABLE_40213" displayName="M_TABLE_40213" ref="B23:I43" totalsRowShown="0">
  <autoFilter ref="B23:I43" xr:uid="{4F0050E3-22F7-4405-B4EE-2DC919822A20}"/>
  <tableColumns count="8">
    <tableColumn id="9" xr3:uid="{AF1820E4-59C8-482F-895B-32A338C76251}" name="産業中分類上位２０"/>
    <tableColumn id="10" xr3:uid="{73018F4B-8CB4-4AEC-B428-B22328251BF8}" name="総数／事業所数" dataCellStyle="桁区切り"/>
    <tableColumn id="11" xr3:uid="{C3D080FC-0F17-47BE-888C-020C9C68FF14}" name="総数／構成比" dataDxfId="677"/>
    <tableColumn id="12" xr3:uid="{CAB8B833-66D4-40E6-8C2C-7E922CD6362F}" name="個人／事業所数" dataCellStyle="桁区切り"/>
    <tableColumn id="13" xr3:uid="{6C3F1095-5E75-45AA-8A3D-2E4461E4BA15}" name="個人／構成比" dataDxfId="676"/>
    <tableColumn id="14" xr3:uid="{B5949D41-C088-49BB-A37F-71A7CB177178}" name="法人／事業所数" dataCellStyle="桁区切り"/>
    <tableColumn id="15" xr3:uid="{FE73157A-6EDE-40F0-A565-5A869FF67B88}" name="法人／構成比" dataDxfId="675"/>
    <tableColumn id="16" xr3:uid="{0E8C4826-8334-4676-9F3B-D92590D6F68F}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BEE07D85-19EF-42E3-8BB7-41BA5879B029}" name="S_TABLE_40213" displayName="S_TABLE_40213" ref="B46:I67" totalsRowShown="0">
  <autoFilter ref="B46:I67" xr:uid="{BEE07D85-19EF-42E3-8BB7-41BA5879B029}"/>
  <tableColumns count="8">
    <tableColumn id="9" xr3:uid="{1DC6C352-7E90-4714-B607-AEE439BDEDD6}" name="産業小分類上位２０"/>
    <tableColumn id="10" xr3:uid="{F82DAA47-8E12-451B-9FA5-F24508E01FC1}" name="総数／事業所数" dataCellStyle="桁区切り"/>
    <tableColumn id="11" xr3:uid="{9151AE12-A5CA-4D68-A51C-50881EF46F78}" name="総数／構成比" dataDxfId="674"/>
    <tableColumn id="12" xr3:uid="{F3F0367F-BEB8-4A10-B250-6B69FBF059D3}" name="個人／事業所数" dataCellStyle="桁区切り"/>
    <tableColumn id="13" xr3:uid="{A9E11047-EA66-49BD-AB1D-71BFF9925D5B}" name="個人／構成比" dataDxfId="673"/>
    <tableColumn id="14" xr3:uid="{807C75C8-5608-4422-9337-E5DA27D03375}" name="法人／事業所数" dataCellStyle="桁区切り"/>
    <tableColumn id="15" xr3:uid="{F379028A-19A4-435A-A50D-93060A38B8EE}" name="法人／構成比" dataDxfId="672"/>
    <tableColumn id="16" xr3:uid="{E2B1B355-6957-47CB-8581-1B3877A6FD26}" name="法人以外の団体／事業所数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7CDCFB08-CE3E-458C-A98B-F7816169DFC9}" name="LTBL_40214" displayName="LTBL_40214" ref="B4:I20" totalsRowCount="1">
  <autoFilter ref="B4:I19" xr:uid="{7CDCFB08-CE3E-458C-A98B-F7816169DFC9}"/>
  <tableColumns count="8">
    <tableColumn id="9" xr3:uid="{5DDB2AAB-0D92-45F3-A587-1A99CA170152}" name="産業大分類" totalsRowLabel="合計" totalsRowDxfId="671"/>
    <tableColumn id="10" xr3:uid="{64F1D1B3-3EEA-4D4A-9B6F-9C270F33B5DA}" name="総数／事業所数" totalsRowFunction="custom" totalsRowDxfId="670" dataCellStyle="桁区切り" totalsRowCellStyle="桁区切り">
      <totalsRowFormula>SUM(LTBL_40214[総数／事業所数])</totalsRowFormula>
    </tableColumn>
    <tableColumn id="11" xr3:uid="{4A347C72-EC74-435F-92C6-C5D81EE5DA11}" name="総数／構成比" dataDxfId="669"/>
    <tableColumn id="12" xr3:uid="{B3ED2357-A4AC-4365-A96C-27CE8CC04F7E}" name="個人／事業所数" totalsRowFunction="sum" totalsRowDxfId="668" dataCellStyle="桁区切り" totalsRowCellStyle="桁区切り"/>
    <tableColumn id="13" xr3:uid="{5D54FEBA-3A8F-4F0D-AD14-7D65C5C1CC99}" name="個人／構成比" dataDxfId="667"/>
    <tableColumn id="14" xr3:uid="{9C2DF453-23F7-46E9-A447-D55C715264DD}" name="法人／事業所数" totalsRowFunction="sum" totalsRowDxfId="666" dataCellStyle="桁区切り" totalsRowCellStyle="桁区切り"/>
    <tableColumn id="15" xr3:uid="{F8F61137-A1D4-44E3-89A8-3BCD79B530AE}" name="法人／構成比" dataDxfId="665"/>
    <tableColumn id="16" xr3:uid="{1C932015-FB04-41BA-BF90-464A8118BA15}" name="法人以外の団体／事業所数" totalsRowFunction="sum" totalsRowDxfId="664" dataCellStyle="桁区切り" totalsRowCellStyle="桁区切り"/>
  </tableColumns>
  <tableStyleInfo name="TableStyleMedium9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74E177F2-2F89-4547-BFEB-D344EFA519E4}" name="M_TABLE_40214" displayName="M_TABLE_40214" ref="B23:I46" totalsRowShown="0">
  <autoFilter ref="B23:I46" xr:uid="{74E177F2-2F89-4547-BFEB-D344EFA519E4}"/>
  <tableColumns count="8">
    <tableColumn id="9" xr3:uid="{49E98826-D179-4D41-AAEC-6D6D4D2676B9}" name="産業中分類上位２０"/>
    <tableColumn id="10" xr3:uid="{101C93DC-D2D7-4E47-B338-0DFE6095E31C}" name="総数／事業所数" dataCellStyle="桁区切り"/>
    <tableColumn id="11" xr3:uid="{B3992F5B-43B9-4613-94B5-AAE76D9BD40B}" name="総数／構成比" dataDxfId="663"/>
    <tableColumn id="12" xr3:uid="{A5FEDEF8-571D-4A90-8664-D28F9DF00363}" name="個人／事業所数" dataCellStyle="桁区切り"/>
    <tableColumn id="13" xr3:uid="{8624149D-96DF-4682-922F-16A78682A58A}" name="個人／構成比" dataDxfId="662"/>
    <tableColumn id="14" xr3:uid="{5414891A-A481-4C40-B7B0-C61775C55FD6}" name="法人／事業所数" dataCellStyle="桁区切り"/>
    <tableColumn id="15" xr3:uid="{D8EEC510-B047-4664-878F-399CA2FF1B90}" name="法人／構成比" dataDxfId="661"/>
    <tableColumn id="16" xr3:uid="{BC9F8328-74DC-4C4C-BCEB-A433A32D667E}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2C7116D2-015A-4630-B59D-851565906D14}" name="S_TABLE_40214" displayName="S_TABLE_40214" ref="B49:I69" totalsRowShown="0">
  <autoFilter ref="B49:I69" xr:uid="{2C7116D2-015A-4630-B59D-851565906D14}"/>
  <tableColumns count="8">
    <tableColumn id="9" xr3:uid="{34353106-1DAC-40FB-836A-D6B05C0A27B0}" name="産業小分類上位２０"/>
    <tableColumn id="10" xr3:uid="{17D2E676-80AB-480D-B819-5679D64F6C7D}" name="総数／事業所数" dataCellStyle="桁区切り"/>
    <tableColumn id="11" xr3:uid="{684611D2-FAF1-457D-915E-CA23C745DFB7}" name="総数／構成比" dataDxfId="660"/>
    <tableColumn id="12" xr3:uid="{87F2CCE4-3912-4940-A856-8799C5C506CD}" name="個人／事業所数" dataCellStyle="桁区切り"/>
    <tableColumn id="13" xr3:uid="{01AC3B77-C3AF-4E64-8E39-D1E46FD7CC8F}" name="個人／構成比" dataDxfId="659"/>
    <tableColumn id="14" xr3:uid="{8D66CEB7-4173-4ADF-A39F-B674D6757CE9}" name="法人／事業所数" dataCellStyle="桁区切り"/>
    <tableColumn id="15" xr3:uid="{D810A29A-5EC9-45C5-88CB-2BF5F16684CA}" name="法人／構成比" dataDxfId="658"/>
    <tableColumn id="16" xr3:uid="{837C8B81-24D4-4F79-9077-E09146A14E2E}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9E5F1351-C631-44EE-8902-C7D86BC65446}" name="LTBL_40215" displayName="LTBL_40215" ref="B4:I20" totalsRowCount="1">
  <autoFilter ref="B4:I19" xr:uid="{9E5F1351-C631-44EE-8902-C7D86BC65446}"/>
  <tableColumns count="8">
    <tableColumn id="9" xr3:uid="{5183155C-661C-4E31-9358-095C976131A3}" name="産業大分類" totalsRowLabel="合計" totalsRowDxfId="657"/>
    <tableColumn id="10" xr3:uid="{1406986E-DABD-4B30-B904-B49AB61668D5}" name="総数／事業所数" totalsRowFunction="custom" totalsRowDxfId="656" dataCellStyle="桁区切り" totalsRowCellStyle="桁区切り">
      <totalsRowFormula>SUM(LTBL_40215[総数／事業所数])</totalsRowFormula>
    </tableColumn>
    <tableColumn id="11" xr3:uid="{36DC3192-B917-4F2C-9C7B-BA016766CBB7}" name="総数／構成比" dataDxfId="655"/>
    <tableColumn id="12" xr3:uid="{B4025C9C-A758-4633-9EB9-9C89B77052D0}" name="個人／事業所数" totalsRowFunction="sum" totalsRowDxfId="654" dataCellStyle="桁区切り" totalsRowCellStyle="桁区切り"/>
    <tableColumn id="13" xr3:uid="{81DA2B91-013C-4DDB-B519-606493353535}" name="個人／構成比" dataDxfId="653"/>
    <tableColumn id="14" xr3:uid="{ADCF4882-3CBC-4091-A36E-44E514E1BACB}" name="法人／事業所数" totalsRowFunction="sum" totalsRowDxfId="652" dataCellStyle="桁区切り" totalsRowCellStyle="桁区切り"/>
    <tableColumn id="15" xr3:uid="{9CA65B31-33D6-4EFC-A8DC-FCE91CEBE2FA}" name="法人／構成比" dataDxfId="651"/>
    <tableColumn id="16" xr3:uid="{1C57A45C-DBFF-4939-B481-507F9501DA59}" name="法人以外の団体／事業所数" totalsRowFunction="sum" totalsRowDxfId="650" dataCellStyle="桁区切り" totalsRow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DE4F8588-13E5-456A-9448-071EBD8014AB}" name="M_TABLE_40215" displayName="M_TABLE_40215" ref="B23:I43" totalsRowShown="0">
  <autoFilter ref="B23:I43" xr:uid="{DE4F8588-13E5-456A-9448-071EBD8014AB}"/>
  <tableColumns count="8">
    <tableColumn id="9" xr3:uid="{8E960192-0855-4B60-B84E-6B7B2806C3AF}" name="産業中分類上位２０"/>
    <tableColumn id="10" xr3:uid="{3CC0BCA3-4684-4893-9A23-88AF769ADF3F}" name="総数／事業所数" dataCellStyle="桁区切り"/>
    <tableColumn id="11" xr3:uid="{BBF2B4E3-2977-4014-849A-FB2D47FBC2EC}" name="総数／構成比" dataDxfId="649"/>
    <tableColumn id="12" xr3:uid="{E4C22C96-E5A4-4DA0-9485-76C739F523F4}" name="個人／事業所数" dataCellStyle="桁区切り"/>
    <tableColumn id="13" xr3:uid="{28E60241-E425-4295-A38D-FBCAEA4B9A98}" name="個人／構成比" dataDxfId="648"/>
    <tableColumn id="14" xr3:uid="{7CC3269A-D609-44F6-A720-F6419147BF70}" name="法人／事業所数" dataCellStyle="桁区切り"/>
    <tableColumn id="15" xr3:uid="{53F45F31-6FC0-4064-B1C2-AF52604609CD}" name="法人／構成比" dataDxfId="647"/>
    <tableColumn id="16" xr3:uid="{A6E11DD4-5DE3-4307-A42D-B2A9A32CCCE5}" name="法人以外の団体／事業所数" dataCellStyle="桁区切り"/>
  </tableColumns>
  <tableStyleInfo name="TableStyleMedium9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5FDB6591-9CA4-48DC-B311-5F0252CFC46B}" name="S_TABLE_40215" displayName="S_TABLE_40215" ref="B46:I66" totalsRowShown="0">
  <autoFilter ref="B46:I66" xr:uid="{5FDB6591-9CA4-48DC-B311-5F0252CFC46B}"/>
  <tableColumns count="8">
    <tableColumn id="9" xr3:uid="{D8058CA1-5A2E-4F97-8A1A-2AF5D726F221}" name="産業小分類上位２０"/>
    <tableColumn id="10" xr3:uid="{4C1277E0-FBEA-4A04-ADA0-0B45E5B2A690}" name="総数／事業所数" dataCellStyle="桁区切り"/>
    <tableColumn id="11" xr3:uid="{A0A7A7FD-ACF3-4D9B-8790-1D58914DF04F}" name="総数／構成比" dataDxfId="646"/>
    <tableColumn id="12" xr3:uid="{04ABE69F-FE73-4EC8-9EA4-E62EC810A010}" name="個人／事業所数" dataCellStyle="桁区切り"/>
    <tableColumn id="13" xr3:uid="{6BD22971-03ED-4202-AFD9-0EE76B3727F2}" name="個人／構成比" dataDxfId="645"/>
    <tableColumn id="14" xr3:uid="{18D98E94-03FA-4895-A9B9-10D51FD22850}" name="法人／事業所数" dataCellStyle="桁区切り"/>
    <tableColumn id="15" xr3:uid="{1798CD07-EFA0-4145-A9FC-869F5C399F93}" name="法人／構成比" dataDxfId="644"/>
    <tableColumn id="16" xr3:uid="{7E7B0755-7CD3-4318-87CD-B88D0C2D1085}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56BBA143-535A-481B-8BA0-330006D8ADAA}" name="LTBL_40216" displayName="LTBL_40216" ref="B4:I20" totalsRowCount="1">
  <autoFilter ref="B4:I19" xr:uid="{56BBA143-535A-481B-8BA0-330006D8ADAA}"/>
  <tableColumns count="8">
    <tableColumn id="9" xr3:uid="{7F373551-B451-49D7-82AF-C25958BFB561}" name="産業大分類" totalsRowLabel="合計" totalsRowDxfId="643"/>
    <tableColumn id="10" xr3:uid="{A7C2CE72-0D6A-44A0-BA88-F4F4CCC8B01C}" name="総数／事業所数" totalsRowFunction="custom" totalsRowDxfId="642" dataCellStyle="桁区切り" totalsRowCellStyle="桁区切り">
      <totalsRowFormula>SUM(LTBL_40216[総数／事業所数])</totalsRowFormula>
    </tableColumn>
    <tableColumn id="11" xr3:uid="{2BB6EAAB-D03E-4892-96A2-ACE02161C3A4}" name="総数／構成比" dataDxfId="641"/>
    <tableColumn id="12" xr3:uid="{6D16D317-57C1-4886-8866-C1DC4B7938B8}" name="個人／事業所数" totalsRowFunction="sum" totalsRowDxfId="640" dataCellStyle="桁区切り" totalsRowCellStyle="桁区切り"/>
    <tableColumn id="13" xr3:uid="{CCCC12B5-4AEB-4957-B4A6-52BDCDDB994E}" name="個人／構成比" dataDxfId="639"/>
    <tableColumn id="14" xr3:uid="{1F87AE1F-CE4F-42C0-92A7-8C3CEE8DF429}" name="法人／事業所数" totalsRowFunction="sum" totalsRowDxfId="638" dataCellStyle="桁区切り" totalsRowCellStyle="桁区切り"/>
    <tableColumn id="15" xr3:uid="{7706E424-1570-4E3D-94BC-DE0CB53C39CA}" name="法人／構成比" dataDxfId="637"/>
    <tableColumn id="16" xr3:uid="{5C0614B8-1AF6-46D2-B0D9-CA20548CD33B}" name="法人以外の団体／事業所数" totalsRowFunction="sum" totalsRowDxfId="636" dataCellStyle="桁区切り" totalsRow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DB13FDF7-55FB-482D-8E70-D796B3EDEF79}" name="M_TABLE_40216" displayName="M_TABLE_40216" ref="B23:I43" totalsRowShown="0">
  <autoFilter ref="B23:I43" xr:uid="{DB13FDF7-55FB-482D-8E70-D796B3EDEF79}"/>
  <tableColumns count="8">
    <tableColumn id="9" xr3:uid="{93A0A7D8-BCC8-4A70-A85F-9F04A2685B52}" name="産業中分類上位２０"/>
    <tableColumn id="10" xr3:uid="{2B335157-2AB4-4D01-BC3B-FE4F311074A5}" name="総数／事業所数" dataCellStyle="桁区切り"/>
    <tableColumn id="11" xr3:uid="{11A3241F-3FB2-49CC-BF27-6B28B2617079}" name="総数／構成比" dataDxfId="635"/>
    <tableColumn id="12" xr3:uid="{EB710F0A-EF09-4CFF-B934-9546B01E35CE}" name="個人／事業所数" dataCellStyle="桁区切り"/>
    <tableColumn id="13" xr3:uid="{C9803133-F7FF-4916-87DE-F4E8CA2B2EC1}" name="個人／構成比" dataDxfId="634"/>
    <tableColumn id="14" xr3:uid="{4FF948D7-85AC-4ECB-96E1-367B4EB7600A}" name="法人／事業所数" dataCellStyle="桁区切り"/>
    <tableColumn id="15" xr3:uid="{75BA0620-E19B-4F4B-8C33-84955529B61D}" name="法人／構成比" dataDxfId="633"/>
    <tableColumn id="16" xr3:uid="{C5446A3C-86D5-45B8-8401-0BFA2E91F24D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AA78060-47C0-4E7E-A759-17A988772268}" name="S_TABLE_40101" displayName="S_TABLE_40101" ref="B47:I68" totalsRowShown="0">
  <autoFilter ref="B47:I68" xr:uid="{BAA78060-47C0-4E7E-A759-17A988772268}"/>
  <tableColumns count="8">
    <tableColumn id="9" xr3:uid="{3D1DF7F1-D363-4FE3-B72F-896C944B76CD}" name="産業小分類上位２０"/>
    <tableColumn id="10" xr3:uid="{F8E612A4-AC55-459B-AA5C-51988DC5D5F7}" name="総数／事業所数" dataCellStyle="桁区切り"/>
    <tableColumn id="11" xr3:uid="{E7216C60-68AE-4E3D-BE70-AED19369917F}" name="総数／構成比" dataDxfId="1010"/>
    <tableColumn id="12" xr3:uid="{375A9141-5F35-41E1-8E4D-37CFBD43C368}" name="個人／事業所数" dataCellStyle="桁区切り"/>
    <tableColumn id="13" xr3:uid="{188DFB6F-838C-4CAF-8302-F2902EA2A80C}" name="個人／構成比" dataDxfId="1009"/>
    <tableColumn id="14" xr3:uid="{D834B015-740C-47AA-B19D-BB7FE5399994}" name="法人／事業所数" dataCellStyle="桁区切り"/>
    <tableColumn id="15" xr3:uid="{A9CD6257-0B65-4CED-B553-0967C8ADE1BA}" name="法人／構成比" dataDxfId="1008"/>
    <tableColumn id="16" xr3:uid="{E87AF72C-231C-4CCA-ADEE-3532847C09AC}" name="法人以外の団体／事業所数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1279052-F091-472D-B276-F78C171211F0}" name="S_TABLE_40216" displayName="S_TABLE_40216" ref="B46:I67" totalsRowShown="0">
  <autoFilter ref="B46:I67" xr:uid="{01279052-F091-472D-B276-F78C171211F0}"/>
  <tableColumns count="8">
    <tableColumn id="9" xr3:uid="{6918C941-1BC5-4FC4-9381-AE2E4FE0B191}" name="産業小分類上位２０"/>
    <tableColumn id="10" xr3:uid="{CCCFAC5B-96AC-421E-92F3-1E40415BD709}" name="総数／事業所数" dataCellStyle="桁区切り"/>
    <tableColumn id="11" xr3:uid="{F2E62809-1E8E-40F5-AB2E-A6F8DF5B19C1}" name="総数／構成比" dataDxfId="632"/>
    <tableColumn id="12" xr3:uid="{744EC238-7490-4DE5-8D12-89131E1E2689}" name="個人／事業所数" dataCellStyle="桁区切り"/>
    <tableColumn id="13" xr3:uid="{9B316907-9EB7-461D-89DB-EB0ABF17B196}" name="個人／構成比" dataDxfId="631"/>
    <tableColumn id="14" xr3:uid="{954E9B67-31A4-4E05-9254-2BFB69667A4B}" name="法人／事業所数" dataCellStyle="桁区切り"/>
    <tableColumn id="15" xr3:uid="{609C7CEC-BD59-4D4B-B8CB-B02C88B234AE}" name="法人／構成比" dataDxfId="630"/>
    <tableColumn id="16" xr3:uid="{866A1CE1-8062-4EFC-9415-9D848ED1A6F4}" name="法人以外の団体／事業所数" dataCellStyle="桁区切り"/>
  </tableColumns>
  <tableStyleInfo name="TableStyleMedium9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BA69EF2A-B3E2-4312-862D-DD6FEAB3F0BA}" name="LTBL_40217" displayName="LTBL_40217" ref="B4:I20" totalsRowCount="1">
  <autoFilter ref="B4:I19" xr:uid="{BA69EF2A-B3E2-4312-862D-DD6FEAB3F0BA}"/>
  <tableColumns count="8">
    <tableColumn id="9" xr3:uid="{91F3B06F-B23B-4CC9-973C-89B26F9112D9}" name="産業大分類" totalsRowLabel="合計" totalsRowDxfId="629"/>
    <tableColumn id="10" xr3:uid="{D27B302D-10B1-48A9-A1EE-BBEE8C33F78D}" name="総数／事業所数" totalsRowFunction="custom" totalsRowDxfId="628" dataCellStyle="桁区切り" totalsRowCellStyle="桁区切り">
      <totalsRowFormula>SUM(LTBL_40217[総数／事業所数])</totalsRowFormula>
    </tableColumn>
    <tableColumn id="11" xr3:uid="{AE6AC700-CD69-434A-B7C7-E77CD41CFBA2}" name="総数／構成比" dataDxfId="627"/>
    <tableColumn id="12" xr3:uid="{B16FA4AC-9837-48B1-9152-D518901631D7}" name="個人／事業所数" totalsRowFunction="sum" totalsRowDxfId="626" dataCellStyle="桁区切り" totalsRowCellStyle="桁区切り"/>
    <tableColumn id="13" xr3:uid="{DC443282-C4A4-47F8-A6AD-1DB7A5F5307E}" name="個人／構成比" dataDxfId="625"/>
    <tableColumn id="14" xr3:uid="{AF649B18-6E34-46A2-B775-0DD72E67900D}" name="法人／事業所数" totalsRowFunction="sum" totalsRowDxfId="624" dataCellStyle="桁区切り" totalsRowCellStyle="桁区切り"/>
    <tableColumn id="15" xr3:uid="{A91790B8-91ED-4F11-BBDA-4103C220B1A6}" name="法人／構成比" dataDxfId="623"/>
    <tableColumn id="16" xr3:uid="{A3315DE7-4B86-42F5-95FB-C2D1E9235101}" name="法人以外の団体／事業所数" totalsRowFunction="sum" totalsRowDxfId="622" dataCellStyle="桁区切り" totalsRow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3B5591F2-148B-4FAF-81D1-85CCDC1B5DFF}" name="M_TABLE_40217" displayName="M_TABLE_40217" ref="B23:I43" totalsRowShown="0">
  <autoFilter ref="B23:I43" xr:uid="{3B5591F2-148B-4FAF-81D1-85CCDC1B5DFF}"/>
  <tableColumns count="8">
    <tableColumn id="9" xr3:uid="{0D7409CE-8B7C-4C5E-BCDC-88E0B5788C6D}" name="産業中分類上位２０"/>
    <tableColumn id="10" xr3:uid="{FE7C9646-9B7E-46F8-8A51-2621D6B9E838}" name="総数／事業所数" dataCellStyle="桁区切り"/>
    <tableColumn id="11" xr3:uid="{BC7DD812-D2B3-46F9-B98C-47B56851AF4B}" name="総数／構成比" dataDxfId="621"/>
    <tableColumn id="12" xr3:uid="{02512124-F5A7-4CA4-A93C-568206A53944}" name="個人／事業所数" dataCellStyle="桁区切り"/>
    <tableColumn id="13" xr3:uid="{70D68F23-9F0A-42EC-B498-0B6624CFE78D}" name="個人／構成比" dataDxfId="620"/>
    <tableColumn id="14" xr3:uid="{02B49DC7-DBD0-4A4D-9394-3709EAB38FC3}" name="法人／事業所数" dataCellStyle="桁区切り"/>
    <tableColumn id="15" xr3:uid="{93530F0F-3523-475D-83DE-2385C99BA5ED}" name="法人／構成比" dataDxfId="619"/>
    <tableColumn id="16" xr3:uid="{741958D5-FBB6-4BD8-9E81-404E8BB18D82}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50DE112E-67AF-406C-BE72-0740AFE141E3}" name="S_TABLE_40217" displayName="S_TABLE_40217" ref="B46:I66" totalsRowShown="0">
  <autoFilter ref="B46:I66" xr:uid="{50DE112E-67AF-406C-BE72-0740AFE141E3}"/>
  <tableColumns count="8">
    <tableColumn id="9" xr3:uid="{84FE52AD-B0F4-4BC1-B092-7AC81AE958B1}" name="産業小分類上位２０"/>
    <tableColumn id="10" xr3:uid="{45663BC7-2254-4A40-A142-7ED7E9BB4F3D}" name="総数／事業所数" dataCellStyle="桁区切り"/>
    <tableColumn id="11" xr3:uid="{B4AEF431-50BD-4D52-9900-D417E3E1F60C}" name="総数／構成比" dataDxfId="618"/>
    <tableColumn id="12" xr3:uid="{29ED73C0-D089-49B0-A33A-5FD11EF37DD2}" name="個人／事業所数" dataCellStyle="桁区切り"/>
    <tableColumn id="13" xr3:uid="{E4D3C33D-ED4A-48A9-A9C2-FC893944B49C}" name="個人／構成比" dataDxfId="617"/>
    <tableColumn id="14" xr3:uid="{286F8C13-3360-437C-B9C8-6E3865C4F408}" name="法人／事業所数" dataCellStyle="桁区切り"/>
    <tableColumn id="15" xr3:uid="{3138E80A-C7EC-474E-BB28-A8B5BD97682B}" name="法人／構成比" dataDxfId="616"/>
    <tableColumn id="16" xr3:uid="{4314703F-2F4B-436F-8346-D92F0BB47AC0}" name="法人以外の団体／事業所数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B8A8EC90-06F1-4347-BA25-E2632F91EC31}" name="LTBL_40218" displayName="LTBL_40218" ref="B4:I20" totalsRowCount="1">
  <autoFilter ref="B4:I19" xr:uid="{B8A8EC90-06F1-4347-BA25-E2632F91EC31}"/>
  <tableColumns count="8">
    <tableColumn id="9" xr3:uid="{9323CE57-5E8E-473E-8EA9-C6428BA65101}" name="産業大分類" totalsRowLabel="合計" totalsRowDxfId="615"/>
    <tableColumn id="10" xr3:uid="{F9E9BC6C-3F55-44FC-A79A-846291E5A043}" name="総数／事業所数" totalsRowFunction="custom" totalsRowDxfId="614" dataCellStyle="桁区切り" totalsRowCellStyle="桁区切り">
      <totalsRowFormula>SUM(LTBL_40218[総数／事業所数])</totalsRowFormula>
    </tableColumn>
    <tableColumn id="11" xr3:uid="{3604DC11-5097-41BF-A178-BCD55C633D85}" name="総数／構成比" dataDxfId="613"/>
    <tableColumn id="12" xr3:uid="{0DF1BCBF-A341-4726-9DCF-A25BFED5E11B}" name="個人／事業所数" totalsRowFunction="sum" totalsRowDxfId="612" dataCellStyle="桁区切り" totalsRowCellStyle="桁区切り"/>
    <tableColumn id="13" xr3:uid="{95852AFC-68F0-4E1A-958E-14826C1E5D71}" name="個人／構成比" dataDxfId="611"/>
    <tableColumn id="14" xr3:uid="{B14C5B49-C78A-4448-BDC7-BB01A30640C0}" name="法人／事業所数" totalsRowFunction="sum" totalsRowDxfId="610" dataCellStyle="桁区切り" totalsRowCellStyle="桁区切り"/>
    <tableColumn id="15" xr3:uid="{7F5DDE22-95AE-4CCC-BBD2-DA211CFFB269}" name="法人／構成比" dataDxfId="609"/>
    <tableColumn id="16" xr3:uid="{8C330286-F541-4D35-ABCE-0F9369C45769}" name="法人以外の団体／事業所数" totalsRowFunction="sum" totalsRowDxfId="608" dataCellStyle="桁区切り" totalsRowCellStyle="桁区切り"/>
  </tableColumns>
  <tableStyleInfo name="TableStyleMedium9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CB826ECC-9EDD-4B8F-B322-667AE2FC8D48}" name="M_TABLE_40218" displayName="M_TABLE_40218" ref="B23:I43" totalsRowShown="0">
  <autoFilter ref="B23:I43" xr:uid="{CB826ECC-9EDD-4B8F-B322-667AE2FC8D48}"/>
  <tableColumns count="8">
    <tableColumn id="9" xr3:uid="{0E9B0445-1F11-4BF5-A9DE-06802637BE05}" name="産業中分類上位２０"/>
    <tableColumn id="10" xr3:uid="{4D196C79-5495-4BB9-AAE5-7E90C70C4257}" name="総数／事業所数" dataCellStyle="桁区切り"/>
    <tableColumn id="11" xr3:uid="{25AB860F-D99D-4EAC-837E-C4FA3D661EAE}" name="総数／構成比" dataDxfId="607"/>
    <tableColumn id="12" xr3:uid="{1992C58E-699E-4BA3-9A18-A6222DD1DDB8}" name="個人／事業所数" dataCellStyle="桁区切り"/>
    <tableColumn id="13" xr3:uid="{C32A324B-4EA4-42EE-A641-590B6B46C2F9}" name="個人／構成比" dataDxfId="606"/>
    <tableColumn id="14" xr3:uid="{01C08C58-749E-4232-82AF-445A90C8AD1C}" name="法人／事業所数" dataCellStyle="桁区切り"/>
    <tableColumn id="15" xr3:uid="{7E2FB047-BC5D-4C51-B29A-44F811207FA8}" name="法人／構成比" dataDxfId="605"/>
    <tableColumn id="16" xr3:uid="{620CD769-B464-4F54-B194-81236A1ED095}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B6D1D4D0-E303-4D91-B382-1674CF6D7A7B}" name="S_TABLE_40218" displayName="S_TABLE_40218" ref="B46:I67" totalsRowShown="0">
  <autoFilter ref="B46:I67" xr:uid="{B6D1D4D0-E303-4D91-B382-1674CF6D7A7B}"/>
  <tableColumns count="8">
    <tableColumn id="9" xr3:uid="{123817F1-ACD0-46E4-9257-35244D2BD02A}" name="産業小分類上位２０"/>
    <tableColumn id="10" xr3:uid="{3A247BA5-2B90-499A-B3D4-C6F50F81DF8B}" name="総数／事業所数" dataCellStyle="桁区切り"/>
    <tableColumn id="11" xr3:uid="{F34604D8-2661-4540-97EE-C427363420A0}" name="総数／構成比" dataDxfId="604"/>
    <tableColumn id="12" xr3:uid="{769566BC-4483-469E-A67C-B6B01372B458}" name="個人／事業所数" dataCellStyle="桁区切り"/>
    <tableColumn id="13" xr3:uid="{509C35F8-9237-4F05-8A93-1B215A97BB0D}" name="個人／構成比" dataDxfId="603"/>
    <tableColumn id="14" xr3:uid="{4D13FC1C-0982-4875-AACE-D9102820D716}" name="法人／事業所数" dataCellStyle="桁区切り"/>
    <tableColumn id="15" xr3:uid="{984D7EBA-87F3-4136-B730-5454DB7AC999}" name="法人／構成比" dataDxfId="602"/>
    <tableColumn id="16" xr3:uid="{6D61E1E4-47D0-4112-9F33-354EFFCF8908}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19EEB57B-A998-4D93-AF13-F51710936DBF}" name="LTBL_40219" displayName="LTBL_40219" ref="B4:I20" totalsRowCount="1">
  <autoFilter ref="B4:I19" xr:uid="{19EEB57B-A998-4D93-AF13-F51710936DBF}"/>
  <tableColumns count="8">
    <tableColumn id="9" xr3:uid="{F820172F-9D87-40CE-ADF3-DFCD5BBD2994}" name="産業大分類" totalsRowLabel="合計" totalsRowDxfId="601"/>
    <tableColumn id="10" xr3:uid="{80FB92DE-CDEA-40FB-82B3-91523A64073E}" name="総数／事業所数" totalsRowFunction="custom" totalsRowDxfId="600" dataCellStyle="桁区切り" totalsRowCellStyle="桁区切り">
      <totalsRowFormula>SUM(LTBL_40219[総数／事業所数])</totalsRowFormula>
    </tableColumn>
    <tableColumn id="11" xr3:uid="{9094475E-BD10-471A-A7E1-21CED6443ECA}" name="総数／構成比" dataDxfId="599"/>
    <tableColumn id="12" xr3:uid="{4AA1551E-CABD-410E-A401-7ADCC903AF8C}" name="個人／事業所数" totalsRowFunction="sum" totalsRowDxfId="598" dataCellStyle="桁区切り" totalsRowCellStyle="桁区切り"/>
    <tableColumn id="13" xr3:uid="{1EC094DA-5637-4949-AE4D-D60172D5236A}" name="個人／構成比" dataDxfId="597"/>
    <tableColumn id="14" xr3:uid="{5FE92502-D568-46BA-8014-B34D56C17FF1}" name="法人／事業所数" totalsRowFunction="sum" totalsRowDxfId="596" dataCellStyle="桁区切り" totalsRowCellStyle="桁区切り"/>
    <tableColumn id="15" xr3:uid="{3EB3247E-A070-4248-8A40-309FC579B5B3}" name="法人／構成比" dataDxfId="595"/>
    <tableColumn id="16" xr3:uid="{CA3D6C19-0B2C-4191-9DD9-37B81491D0AB}" name="法人以外の団体／事業所数" totalsRowFunction="sum" totalsRowDxfId="594" dataCellStyle="桁区切り" totalsRow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4D9FA8C5-064F-43B2-B9C4-9C2DFFD48652}" name="M_TABLE_40219" displayName="M_TABLE_40219" ref="B23:I43" totalsRowShown="0">
  <autoFilter ref="B23:I43" xr:uid="{4D9FA8C5-064F-43B2-B9C4-9C2DFFD48652}"/>
  <tableColumns count="8">
    <tableColumn id="9" xr3:uid="{578E8F03-7202-477B-85B9-E0C8E4C6230C}" name="産業中分類上位２０"/>
    <tableColumn id="10" xr3:uid="{7D4A4E0C-ECC5-4DA9-AA24-674466735F5A}" name="総数／事業所数" dataCellStyle="桁区切り"/>
    <tableColumn id="11" xr3:uid="{22BB9E74-1BDF-4DBF-B599-2470FAD8C5D6}" name="総数／構成比" dataDxfId="593"/>
    <tableColumn id="12" xr3:uid="{FFABDE5F-F632-499E-AB30-45CF4102075F}" name="個人／事業所数" dataCellStyle="桁区切り"/>
    <tableColumn id="13" xr3:uid="{2E7428E7-39C2-4548-B787-3B49BA97AB81}" name="個人／構成比" dataDxfId="592"/>
    <tableColumn id="14" xr3:uid="{D1EAB709-AD7E-4E3B-A235-ACE07FBC530B}" name="法人／事業所数" dataCellStyle="桁区切り"/>
    <tableColumn id="15" xr3:uid="{13FACF47-AF5F-4A8C-BBE5-D4970D40AF83}" name="法人／構成比" dataDxfId="591"/>
    <tableColumn id="16" xr3:uid="{0B68DB5C-D91A-4CC9-952B-7FD192EA9465}" name="法人以外の団体／事業所数" dataCellStyle="桁区切り"/>
  </tableColumns>
  <tableStyleInfo name="TableStyleMedium9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CE3DE9D8-FFB4-453E-ACA0-2633E3C7CFC3}" name="S_TABLE_40219" displayName="S_TABLE_40219" ref="B46:I67" totalsRowShown="0">
  <autoFilter ref="B46:I67" xr:uid="{CE3DE9D8-FFB4-453E-ACA0-2633E3C7CFC3}"/>
  <tableColumns count="8">
    <tableColumn id="9" xr3:uid="{FE78DAF5-1642-4E4F-BBD9-6D71ADEF0732}" name="産業小分類上位２０"/>
    <tableColumn id="10" xr3:uid="{C67E2546-4AEB-4711-894D-6FD5B5AD6380}" name="総数／事業所数" dataCellStyle="桁区切り"/>
    <tableColumn id="11" xr3:uid="{0BBD0469-3DF8-4E9E-90B8-9E3607CB29FD}" name="総数／構成比" dataDxfId="590"/>
    <tableColumn id="12" xr3:uid="{9475279A-CF57-4983-8DCA-0C63AEDDEC95}" name="個人／事業所数" dataCellStyle="桁区切り"/>
    <tableColumn id="13" xr3:uid="{9FD9CA98-0137-477C-B69B-DFCD533A606A}" name="個人／構成比" dataDxfId="589"/>
    <tableColumn id="14" xr3:uid="{29D4D24E-0FDF-4889-AD19-00A05AFE82C3}" name="法人／事業所数" dataCellStyle="桁区切り"/>
    <tableColumn id="15" xr3:uid="{21CC48E2-D318-4AE7-ABD9-7069723E45D4}" name="法人／構成比" dataDxfId="588"/>
    <tableColumn id="16" xr3:uid="{4503A854-EC11-4A88-9425-148B8254DE1F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24.bin"/><Relationship Id="rId4" Type="http://schemas.openxmlformats.org/officeDocument/2006/relationships/table" Target="../tables/table6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5.xml"/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25.bin"/><Relationship Id="rId4" Type="http://schemas.openxmlformats.org/officeDocument/2006/relationships/table" Target="../tables/table6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8.xml"/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26.bin"/><Relationship Id="rId4" Type="http://schemas.openxmlformats.org/officeDocument/2006/relationships/table" Target="../tables/table69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1.xml"/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27.bin"/><Relationship Id="rId4" Type="http://schemas.openxmlformats.org/officeDocument/2006/relationships/table" Target="../tables/table72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7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7.xml"/><Relationship Id="rId2" Type="http://schemas.openxmlformats.org/officeDocument/2006/relationships/table" Target="../tables/table76.xml"/><Relationship Id="rId1" Type="http://schemas.openxmlformats.org/officeDocument/2006/relationships/printerSettings" Target="../printerSettings/printerSettings29.bin"/><Relationship Id="rId4" Type="http://schemas.openxmlformats.org/officeDocument/2006/relationships/table" Target="../tables/table7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0.xml"/><Relationship Id="rId2" Type="http://schemas.openxmlformats.org/officeDocument/2006/relationships/table" Target="../tables/table79.xml"/><Relationship Id="rId1" Type="http://schemas.openxmlformats.org/officeDocument/2006/relationships/printerSettings" Target="../printerSettings/printerSettings30.bin"/><Relationship Id="rId4" Type="http://schemas.openxmlformats.org/officeDocument/2006/relationships/table" Target="../tables/table8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3.xml"/><Relationship Id="rId2" Type="http://schemas.openxmlformats.org/officeDocument/2006/relationships/table" Target="../tables/table82.xml"/><Relationship Id="rId1" Type="http://schemas.openxmlformats.org/officeDocument/2006/relationships/printerSettings" Target="../printerSettings/printerSettings31.bin"/><Relationship Id="rId4" Type="http://schemas.openxmlformats.org/officeDocument/2006/relationships/table" Target="../tables/table8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32.bin"/><Relationship Id="rId4" Type="http://schemas.openxmlformats.org/officeDocument/2006/relationships/table" Target="../tables/table87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9.xml"/><Relationship Id="rId2" Type="http://schemas.openxmlformats.org/officeDocument/2006/relationships/table" Target="../tables/table88.xml"/><Relationship Id="rId1" Type="http://schemas.openxmlformats.org/officeDocument/2006/relationships/printerSettings" Target="../printerSettings/printerSettings33.bin"/><Relationship Id="rId4" Type="http://schemas.openxmlformats.org/officeDocument/2006/relationships/table" Target="../tables/table90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2.xml"/><Relationship Id="rId2" Type="http://schemas.openxmlformats.org/officeDocument/2006/relationships/table" Target="../tables/table91.xml"/><Relationship Id="rId1" Type="http://schemas.openxmlformats.org/officeDocument/2006/relationships/printerSettings" Target="../printerSettings/printerSettings34.bin"/><Relationship Id="rId4" Type="http://schemas.openxmlformats.org/officeDocument/2006/relationships/table" Target="../tables/table9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5.xml"/><Relationship Id="rId2" Type="http://schemas.openxmlformats.org/officeDocument/2006/relationships/table" Target="../tables/table94.xml"/><Relationship Id="rId1" Type="http://schemas.openxmlformats.org/officeDocument/2006/relationships/printerSettings" Target="../printerSettings/printerSettings35.bin"/><Relationship Id="rId4" Type="http://schemas.openxmlformats.org/officeDocument/2006/relationships/table" Target="../tables/table96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36.bin"/><Relationship Id="rId4" Type="http://schemas.openxmlformats.org/officeDocument/2006/relationships/table" Target="../tables/table99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1.xml"/><Relationship Id="rId2" Type="http://schemas.openxmlformats.org/officeDocument/2006/relationships/table" Target="../tables/table100.xml"/><Relationship Id="rId1" Type="http://schemas.openxmlformats.org/officeDocument/2006/relationships/printerSettings" Target="../printerSettings/printerSettings37.bin"/><Relationship Id="rId4" Type="http://schemas.openxmlformats.org/officeDocument/2006/relationships/table" Target="../tables/table102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4.xml"/><Relationship Id="rId2" Type="http://schemas.openxmlformats.org/officeDocument/2006/relationships/table" Target="../tables/table103.xml"/><Relationship Id="rId1" Type="http://schemas.openxmlformats.org/officeDocument/2006/relationships/printerSettings" Target="../printerSettings/printerSettings38.bin"/><Relationship Id="rId4" Type="http://schemas.openxmlformats.org/officeDocument/2006/relationships/table" Target="../tables/table10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7.xml"/><Relationship Id="rId2" Type="http://schemas.openxmlformats.org/officeDocument/2006/relationships/table" Target="../tables/table106.xml"/><Relationship Id="rId1" Type="http://schemas.openxmlformats.org/officeDocument/2006/relationships/printerSettings" Target="../printerSettings/printerSettings39.bin"/><Relationship Id="rId4" Type="http://schemas.openxmlformats.org/officeDocument/2006/relationships/table" Target="../tables/table108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40.bin"/><Relationship Id="rId4" Type="http://schemas.openxmlformats.org/officeDocument/2006/relationships/table" Target="../tables/table111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3.xml"/><Relationship Id="rId2" Type="http://schemas.openxmlformats.org/officeDocument/2006/relationships/table" Target="../tables/table112.xml"/><Relationship Id="rId1" Type="http://schemas.openxmlformats.org/officeDocument/2006/relationships/printerSettings" Target="../printerSettings/printerSettings41.bin"/><Relationship Id="rId4" Type="http://schemas.openxmlformats.org/officeDocument/2006/relationships/table" Target="../tables/table114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6.xml"/><Relationship Id="rId2" Type="http://schemas.openxmlformats.org/officeDocument/2006/relationships/table" Target="../tables/table115.xml"/><Relationship Id="rId1" Type="http://schemas.openxmlformats.org/officeDocument/2006/relationships/printerSettings" Target="../printerSettings/printerSettings42.bin"/><Relationship Id="rId4" Type="http://schemas.openxmlformats.org/officeDocument/2006/relationships/table" Target="../tables/table117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9.xml"/><Relationship Id="rId2" Type="http://schemas.openxmlformats.org/officeDocument/2006/relationships/table" Target="../tables/table118.xml"/><Relationship Id="rId1" Type="http://schemas.openxmlformats.org/officeDocument/2006/relationships/printerSettings" Target="../printerSettings/printerSettings43.bin"/><Relationship Id="rId4" Type="http://schemas.openxmlformats.org/officeDocument/2006/relationships/table" Target="../tables/table120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44.bin"/><Relationship Id="rId4" Type="http://schemas.openxmlformats.org/officeDocument/2006/relationships/table" Target="../tables/table12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5.xml"/><Relationship Id="rId2" Type="http://schemas.openxmlformats.org/officeDocument/2006/relationships/table" Target="../tables/table124.xml"/><Relationship Id="rId1" Type="http://schemas.openxmlformats.org/officeDocument/2006/relationships/printerSettings" Target="../printerSettings/printerSettings45.bin"/><Relationship Id="rId4" Type="http://schemas.openxmlformats.org/officeDocument/2006/relationships/table" Target="../tables/table126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8.xml"/><Relationship Id="rId2" Type="http://schemas.openxmlformats.org/officeDocument/2006/relationships/table" Target="../tables/table127.xml"/><Relationship Id="rId1" Type="http://schemas.openxmlformats.org/officeDocument/2006/relationships/printerSettings" Target="../printerSettings/printerSettings46.bin"/><Relationship Id="rId4" Type="http://schemas.openxmlformats.org/officeDocument/2006/relationships/table" Target="../tables/table129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1.xml"/><Relationship Id="rId2" Type="http://schemas.openxmlformats.org/officeDocument/2006/relationships/table" Target="../tables/table130.xml"/><Relationship Id="rId1" Type="http://schemas.openxmlformats.org/officeDocument/2006/relationships/printerSettings" Target="../printerSettings/printerSettings47.bin"/><Relationship Id="rId4" Type="http://schemas.openxmlformats.org/officeDocument/2006/relationships/table" Target="../tables/table132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4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48.bin"/><Relationship Id="rId4" Type="http://schemas.openxmlformats.org/officeDocument/2006/relationships/table" Target="../tables/table13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7.xml"/><Relationship Id="rId2" Type="http://schemas.openxmlformats.org/officeDocument/2006/relationships/table" Target="../tables/table136.xml"/><Relationship Id="rId1" Type="http://schemas.openxmlformats.org/officeDocument/2006/relationships/printerSettings" Target="../printerSettings/printerSettings49.bin"/><Relationship Id="rId4" Type="http://schemas.openxmlformats.org/officeDocument/2006/relationships/table" Target="../tables/table138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0.xml"/><Relationship Id="rId2" Type="http://schemas.openxmlformats.org/officeDocument/2006/relationships/table" Target="../tables/table139.xml"/><Relationship Id="rId1" Type="http://schemas.openxmlformats.org/officeDocument/2006/relationships/printerSettings" Target="../printerSettings/printerSettings50.bin"/><Relationship Id="rId4" Type="http://schemas.openxmlformats.org/officeDocument/2006/relationships/table" Target="../tables/table141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3.xml"/><Relationship Id="rId2" Type="http://schemas.openxmlformats.org/officeDocument/2006/relationships/table" Target="../tables/table142.xml"/><Relationship Id="rId1" Type="http://schemas.openxmlformats.org/officeDocument/2006/relationships/printerSettings" Target="../printerSettings/printerSettings51.bin"/><Relationship Id="rId4" Type="http://schemas.openxmlformats.org/officeDocument/2006/relationships/table" Target="../tables/table144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6.xml"/><Relationship Id="rId2" Type="http://schemas.openxmlformats.org/officeDocument/2006/relationships/table" Target="../tables/table145.xml"/><Relationship Id="rId1" Type="http://schemas.openxmlformats.org/officeDocument/2006/relationships/printerSettings" Target="../printerSettings/printerSettings52.bin"/><Relationship Id="rId4" Type="http://schemas.openxmlformats.org/officeDocument/2006/relationships/table" Target="../tables/table147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9.xml"/><Relationship Id="rId2" Type="http://schemas.openxmlformats.org/officeDocument/2006/relationships/table" Target="../tables/table148.xml"/><Relationship Id="rId1" Type="http://schemas.openxmlformats.org/officeDocument/2006/relationships/printerSettings" Target="../printerSettings/printerSettings53.bin"/><Relationship Id="rId4" Type="http://schemas.openxmlformats.org/officeDocument/2006/relationships/table" Target="../tables/table150.x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2.xml"/><Relationship Id="rId2" Type="http://schemas.openxmlformats.org/officeDocument/2006/relationships/table" Target="../tables/table151.xml"/><Relationship Id="rId1" Type="http://schemas.openxmlformats.org/officeDocument/2006/relationships/printerSettings" Target="../printerSettings/printerSettings54.bin"/><Relationship Id="rId4" Type="http://schemas.openxmlformats.org/officeDocument/2006/relationships/table" Target="../tables/table153.xm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5.xml"/><Relationship Id="rId2" Type="http://schemas.openxmlformats.org/officeDocument/2006/relationships/table" Target="../tables/table154.xml"/><Relationship Id="rId1" Type="http://schemas.openxmlformats.org/officeDocument/2006/relationships/printerSettings" Target="../printerSettings/printerSettings55.bin"/><Relationship Id="rId4" Type="http://schemas.openxmlformats.org/officeDocument/2006/relationships/table" Target="../tables/table156.xm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8.xml"/><Relationship Id="rId2" Type="http://schemas.openxmlformats.org/officeDocument/2006/relationships/table" Target="../tables/table157.xml"/><Relationship Id="rId1" Type="http://schemas.openxmlformats.org/officeDocument/2006/relationships/printerSettings" Target="../printerSettings/printerSettings56.bin"/><Relationship Id="rId4" Type="http://schemas.openxmlformats.org/officeDocument/2006/relationships/table" Target="../tables/table159.xm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1.xml"/><Relationship Id="rId2" Type="http://schemas.openxmlformats.org/officeDocument/2006/relationships/table" Target="../tables/table160.xml"/><Relationship Id="rId1" Type="http://schemas.openxmlformats.org/officeDocument/2006/relationships/printerSettings" Target="../printerSettings/printerSettings57.bin"/><Relationship Id="rId4" Type="http://schemas.openxmlformats.org/officeDocument/2006/relationships/table" Target="../tables/table162.xm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4.xml"/><Relationship Id="rId2" Type="http://schemas.openxmlformats.org/officeDocument/2006/relationships/table" Target="../tables/table163.xml"/><Relationship Id="rId1" Type="http://schemas.openxmlformats.org/officeDocument/2006/relationships/printerSettings" Target="../printerSettings/printerSettings58.bin"/><Relationship Id="rId4" Type="http://schemas.openxmlformats.org/officeDocument/2006/relationships/table" Target="../tables/table16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7.xml"/><Relationship Id="rId2" Type="http://schemas.openxmlformats.org/officeDocument/2006/relationships/table" Target="../tables/table166.xml"/><Relationship Id="rId1" Type="http://schemas.openxmlformats.org/officeDocument/2006/relationships/printerSettings" Target="../printerSettings/printerSettings59.bin"/><Relationship Id="rId4" Type="http://schemas.openxmlformats.org/officeDocument/2006/relationships/table" Target="../tables/table168.xml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0.xml"/><Relationship Id="rId2" Type="http://schemas.openxmlformats.org/officeDocument/2006/relationships/table" Target="../tables/table169.xml"/><Relationship Id="rId1" Type="http://schemas.openxmlformats.org/officeDocument/2006/relationships/printerSettings" Target="../printerSettings/printerSettings60.bin"/><Relationship Id="rId4" Type="http://schemas.openxmlformats.org/officeDocument/2006/relationships/table" Target="../tables/table171.xml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3.xml"/><Relationship Id="rId2" Type="http://schemas.openxmlformats.org/officeDocument/2006/relationships/table" Target="../tables/table172.xml"/><Relationship Id="rId1" Type="http://schemas.openxmlformats.org/officeDocument/2006/relationships/printerSettings" Target="../printerSettings/printerSettings61.bin"/><Relationship Id="rId4" Type="http://schemas.openxmlformats.org/officeDocument/2006/relationships/table" Target="../tables/table174.xm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6.xml"/><Relationship Id="rId2" Type="http://schemas.openxmlformats.org/officeDocument/2006/relationships/table" Target="../tables/table175.xml"/><Relationship Id="rId1" Type="http://schemas.openxmlformats.org/officeDocument/2006/relationships/printerSettings" Target="../printerSettings/printerSettings62.bin"/><Relationship Id="rId4" Type="http://schemas.openxmlformats.org/officeDocument/2006/relationships/table" Target="../tables/table177.xml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9.xml"/><Relationship Id="rId2" Type="http://schemas.openxmlformats.org/officeDocument/2006/relationships/table" Target="../tables/table178.xml"/><Relationship Id="rId1" Type="http://schemas.openxmlformats.org/officeDocument/2006/relationships/printerSettings" Target="../printerSettings/printerSettings63.bin"/><Relationship Id="rId4" Type="http://schemas.openxmlformats.org/officeDocument/2006/relationships/table" Target="../tables/table180.xml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2.xml"/><Relationship Id="rId2" Type="http://schemas.openxmlformats.org/officeDocument/2006/relationships/table" Target="../tables/table181.xml"/><Relationship Id="rId1" Type="http://schemas.openxmlformats.org/officeDocument/2006/relationships/printerSettings" Target="../printerSettings/printerSettings64.bin"/><Relationship Id="rId4" Type="http://schemas.openxmlformats.org/officeDocument/2006/relationships/table" Target="../tables/table183.xml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5.xml"/><Relationship Id="rId2" Type="http://schemas.openxmlformats.org/officeDocument/2006/relationships/table" Target="../tables/table184.xml"/><Relationship Id="rId1" Type="http://schemas.openxmlformats.org/officeDocument/2006/relationships/printerSettings" Target="../printerSettings/printerSettings65.bin"/><Relationship Id="rId4" Type="http://schemas.openxmlformats.org/officeDocument/2006/relationships/table" Target="../tables/table186.xml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8.xml"/><Relationship Id="rId2" Type="http://schemas.openxmlformats.org/officeDocument/2006/relationships/table" Target="../tables/table187.xml"/><Relationship Id="rId1" Type="http://schemas.openxmlformats.org/officeDocument/2006/relationships/printerSettings" Target="../printerSettings/printerSettings66.bin"/><Relationship Id="rId4" Type="http://schemas.openxmlformats.org/officeDocument/2006/relationships/table" Target="../tables/table189.xml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1.xml"/><Relationship Id="rId2" Type="http://schemas.openxmlformats.org/officeDocument/2006/relationships/table" Target="../tables/table190.xml"/><Relationship Id="rId1" Type="http://schemas.openxmlformats.org/officeDocument/2006/relationships/printerSettings" Target="../printerSettings/printerSettings67.bin"/><Relationship Id="rId4" Type="http://schemas.openxmlformats.org/officeDocument/2006/relationships/table" Target="../tables/table192.xml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4.xml"/><Relationship Id="rId2" Type="http://schemas.openxmlformats.org/officeDocument/2006/relationships/table" Target="../tables/table193.xml"/><Relationship Id="rId1" Type="http://schemas.openxmlformats.org/officeDocument/2006/relationships/printerSettings" Target="../printerSettings/printerSettings68.bin"/><Relationship Id="rId4" Type="http://schemas.openxmlformats.org/officeDocument/2006/relationships/table" Target="../tables/table19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7.xml"/><Relationship Id="rId2" Type="http://schemas.openxmlformats.org/officeDocument/2006/relationships/table" Target="../tables/table196.xml"/><Relationship Id="rId1" Type="http://schemas.openxmlformats.org/officeDocument/2006/relationships/printerSettings" Target="../printerSettings/printerSettings69.bin"/><Relationship Id="rId4" Type="http://schemas.openxmlformats.org/officeDocument/2006/relationships/table" Target="../tables/table198.xml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0.xml"/><Relationship Id="rId2" Type="http://schemas.openxmlformats.org/officeDocument/2006/relationships/table" Target="../tables/table199.xml"/><Relationship Id="rId1" Type="http://schemas.openxmlformats.org/officeDocument/2006/relationships/printerSettings" Target="../printerSettings/printerSettings70.bin"/><Relationship Id="rId4" Type="http://schemas.openxmlformats.org/officeDocument/2006/relationships/table" Target="../tables/table201.xml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3.xml"/><Relationship Id="rId2" Type="http://schemas.openxmlformats.org/officeDocument/2006/relationships/table" Target="../tables/table202.xml"/><Relationship Id="rId1" Type="http://schemas.openxmlformats.org/officeDocument/2006/relationships/printerSettings" Target="../printerSettings/printerSettings71.bin"/><Relationship Id="rId4" Type="http://schemas.openxmlformats.org/officeDocument/2006/relationships/table" Target="../tables/table204.xml"/></Relationships>
</file>

<file path=xl/worksheets/_rels/sheet7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6.xml"/><Relationship Id="rId2" Type="http://schemas.openxmlformats.org/officeDocument/2006/relationships/table" Target="../tables/table205.xml"/><Relationship Id="rId1" Type="http://schemas.openxmlformats.org/officeDocument/2006/relationships/printerSettings" Target="../printerSettings/printerSettings72.bin"/><Relationship Id="rId4" Type="http://schemas.openxmlformats.org/officeDocument/2006/relationships/table" Target="../tables/table207.xml"/></Relationships>
</file>

<file path=xl/worksheets/_rels/sheet7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9.xml"/><Relationship Id="rId2" Type="http://schemas.openxmlformats.org/officeDocument/2006/relationships/table" Target="../tables/table208.xml"/><Relationship Id="rId1" Type="http://schemas.openxmlformats.org/officeDocument/2006/relationships/printerSettings" Target="../printerSettings/printerSettings73.bin"/><Relationship Id="rId4" Type="http://schemas.openxmlformats.org/officeDocument/2006/relationships/table" Target="../tables/table210.xml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2.xml"/><Relationship Id="rId2" Type="http://schemas.openxmlformats.org/officeDocument/2006/relationships/table" Target="../tables/table211.xml"/><Relationship Id="rId1" Type="http://schemas.openxmlformats.org/officeDocument/2006/relationships/printerSettings" Target="../printerSettings/printerSettings74.bin"/><Relationship Id="rId4" Type="http://schemas.openxmlformats.org/officeDocument/2006/relationships/table" Target="../tables/table213.xml"/></Relationships>
</file>

<file path=xl/worksheets/_rels/sheet7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5.xml"/><Relationship Id="rId2" Type="http://schemas.openxmlformats.org/officeDocument/2006/relationships/table" Target="../tables/table214.xml"/><Relationship Id="rId1" Type="http://schemas.openxmlformats.org/officeDocument/2006/relationships/printerSettings" Target="../printerSettings/printerSettings75.bin"/><Relationship Id="rId4" Type="http://schemas.openxmlformats.org/officeDocument/2006/relationships/table" Target="../tables/table216.xml"/></Relationships>
</file>

<file path=xl/worksheets/_rels/sheet7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8.xml"/><Relationship Id="rId2" Type="http://schemas.openxmlformats.org/officeDocument/2006/relationships/table" Target="../tables/table217.xml"/><Relationship Id="rId1" Type="http://schemas.openxmlformats.org/officeDocument/2006/relationships/printerSettings" Target="../printerSettings/printerSettings76.bin"/><Relationship Id="rId4" Type="http://schemas.openxmlformats.org/officeDocument/2006/relationships/table" Target="../tables/table219.xml"/></Relationships>
</file>

<file path=xl/worksheets/_rels/sheet7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1.xml"/><Relationship Id="rId2" Type="http://schemas.openxmlformats.org/officeDocument/2006/relationships/table" Target="../tables/table220.xml"/><Relationship Id="rId1" Type="http://schemas.openxmlformats.org/officeDocument/2006/relationships/printerSettings" Target="../printerSettings/printerSettings77.bin"/><Relationship Id="rId4" Type="http://schemas.openxmlformats.org/officeDocument/2006/relationships/table" Target="../tables/table222.xml"/></Relationships>
</file>

<file path=xl/worksheets/_rels/sheet7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4.xml"/><Relationship Id="rId2" Type="http://schemas.openxmlformats.org/officeDocument/2006/relationships/table" Target="../tables/table223.xml"/><Relationship Id="rId1" Type="http://schemas.openxmlformats.org/officeDocument/2006/relationships/printerSettings" Target="../printerSettings/printerSettings78.bin"/><Relationship Id="rId4" Type="http://schemas.openxmlformats.org/officeDocument/2006/relationships/table" Target="../tables/table22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84362-05A6-434E-9C14-2347B41A23C5}">
  <dimension ref="A1:B79"/>
  <sheetViews>
    <sheetView tabSelected="1" workbookViewId="0"/>
  </sheetViews>
  <sheetFormatPr defaultRowHeight="13.2" x14ac:dyDescent="0.2"/>
  <sheetData>
    <row r="1" spans="1:2" x14ac:dyDescent="0.2">
      <c r="A1" t="s">
        <v>438</v>
      </c>
    </row>
    <row r="2" spans="1:2" x14ac:dyDescent="0.2">
      <c r="B2" s="13" t="s">
        <v>284</v>
      </c>
    </row>
    <row r="3" spans="1:2" x14ac:dyDescent="0.2">
      <c r="B3" s="13" t="s">
        <v>153</v>
      </c>
    </row>
    <row r="4" spans="1:2" x14ac:dyDescent="0.2">
      <c r="B4" s="13" t="s">
        <v>282</v>
      </c>
    </row>
    <row r="5" spans="1:2" x14ac:dyDescent="0.2">
      <c r="B5" s="13" t="s">
        <v>363</v>
      </c>
    </row>
    <row r="6" spans="1:2" x14ac:dyDescent="0.2">
      <c r="B6" s="13" t="s">
        <v>364</v>
      </c>
    </row>
    <row r="7" spans="1:2" x14ac:dyDescent="0.2">
      <c r="B7" s="13" t="s">
        <v>365</v>
      </c>
    </row>
    <row r="8" spans="1:2" x14ac:dyDescent="0.2">
      <c r="B8" s="13" t="s">
        <v>366</v>
      </c>
    </row>
    <row r="9" spans="1:2" x14ac:dyDescent="0.2">
      <c r="B9" s="13" t="s">
        <v>367</v>
      </c>
    </row>
    <row r="10" spans="1:2" x14ac:dyDescent="0.2">
      <c r="B10" s="13" t="s">
        <v>368</v>
      </c>
    </row>
    <row r="11" spans="1:2" x14ac:dyDescent="0.2">
      <c r="B11" s="13" t="s">
        <v>369</v>
      </c>
    </row>
    <row r="12" spans="1:2" x14ac:dyDescent="0.2">
      <c r="B12" s="13" t="s">
        <v>370</v>
      </c>
    </row>
    <row r="13" spans="1:2" x14ac:dyDescent="0.2">
      <c r="B13" s="13" t="s">
        <v>371</v>
      </c>
    </row>
    <row r="14" spans="1:2" x14ac:dyDescent="0.2">
      <c r="B14" s="13" t="s">
        <v>372</v>
      </c>
    </row>
    <row r="15" spans="1:2" x14ac:dyDescent="0.2">
      <c r="B15" s="13" t="s">
        <v>373</v>
      </c>
    </row>
    <row r="16" spans="1:2" x14ac:dyDescent="0.2">
      <c r="B16" s="13" t="s">
        <v>374</v>
      </c>
    </row>
    <row r="17" spans="2:2" x14ac:dyDescent="0.2">
      <c r="B17" s="13" t="s">
        <v>375</v>
      </c>
    </row>
    <row r="18" spans="2:2" x14ac:dyDescent="0.2">
      <c r="B18" s="13" t="s">
        <v>376</v>
      </c>
    </row>
    <row r="19" spans="2:2" x14ac:dyDescent="0.2">
      <c r="B19" s="13" t="s">
        <v>377</v>
      </c>
    </row>
    <row r="20" spans="2:2" x14ac:dyDescent="0.2">
      <c r="B20" s="13" t="s">
        <v>378</v>
      </c>
    </row>
    <row r="21" spans="2:2" x14ac:dyDescent="0.2">
      <c r="B21" s="13" t="s">
        <v>379</v>
      </c>
    </row>
    <row r="22" spans="2:2" x14ac:dyDescent="0.2">
      <c r="B22" s="13" t="s">
        <v>380</v>
      </c>
    </row>
    <row r="23" spans="2:2" x14ac:dyDescent="0.2">
      <c r="B23" s="13" t="s">
        <v>381</v>
      </c>
    </row>
    <row r="24" spans="2:2" x14ac:dyDescent="0.2">
      <c r="B24" s="13" t="s">
        <v>382</v>
      </c>
    </row>
    <row r="25" spans="2:2" x14ac:dyDescent="0.2">
      <c r="B25" s="13" t="s">
        <v>383</v>
      </c>
    </row>
    <row r="26" spans="2:2" x14ac:dyDescent="0.2">
      <c r="B26" s="13" t="s">
        <v>384</v>
      </c>
    </row>
    <row r="27" spans="2:2" x14ac:dyDescent="0.2">
      <c r="B27" s="13" t="s">
        <v>385</v>
      </c>
    </row>
    <row r="28" spans="2:2" x14ac:dyDescent="0.2">
      <c r="B28" s="13" t="s">
        <v>386</v>
      </c>
    </row>
    <row r="29" spans="2:2" x14ac:dyDescent="0.2">
      <c r="B29" s="13" t="s">
        <v>387</v>
      </c>
    </row>
    <row r="30" spans="2:2" x14ac:dyDescent="0.2">
      <c r="B30" s="13" t="s">
        <v>388</v>
      </c>
    </row>
    <row r="31" spans="2:2" x14ac:dyDescent="0.2">
      <c r="B31" s="13" t="s">
        <v>389</v>
      </c>
    </row>
    <row r="32" spans="2:2" x14ac:dyDescent="0.2">
      <c r="B32" s="13" t="s">
        <v>390</v>
      </c>
    </row>
    <row r="33" spans="2:2" x14ac:dyDescent="0.2">
      <c r="B33" s="13" t="s">
        <v>391</v>
      </c>
    </row>
    <row r="34" spans="2:2" x14ac:dyDescent="0.2">
      <c r="B34" s="13" t="s">
        <v>392</v>
      </c>
    </row>
    <row r="35" spans="2:2" x14ac:dyDescent="0.2">
      <c r="B35" s="13" t="s">
        <v>393</v>
      </c>
    </row>
    <row r="36" spans="2:2" x14ac:dyDescent="0.2">
      <c r="B36" s="13" t="s">
        <v>394</v>
      </c>
    </row>
    <row r="37" spans="2:2" x14ac:dyDescent="0.2">
      <c r="B37" s="13" t="s">
        <v>395</v>
      </c>
    </row>
    <row r="38" spans="2:2" x14ac:dyDescent="0.2">
      <c r="B38" s="13" t="s">
        <v>396</v>
      </c>
    </row>
    <row r="39" spans="2:2" x14ac:dyDescent="0.2">
      <c r="B39" s="13" t="s">
        <v>397</v>
      </c>
    </row>
    <row r="40" spans="2:2" x14ac:dyDescent="0.2">
      <c r="B40" s="13" t="s">
        <v>398</v>
      </c>
    </row>
    <row r="41" spans="2:2" x14ac:dyDescent="0.2">
      <c r="B41" s="13" t="s">
        <v>399</v>
      </c>
    </row>
    <row r="42" spans="2:2" x14ac:dyDescent="0.2">
      <c r="B42" s="13" t="s">
        <v>400</v>
      </c>
    </row>
    <row r="43" spans="2:2" x14ac:dyDescent="0.2">
      <c r="B43" s="13" t="s">
        <v>401</v>
      </c>
    </row>
    <row r="44" spans="2:2" x14ac:dyDescent="0.2">
      <c r="B44" s="13" t="s">
        <v>402</v>
      </c>
    </row>
    <row r="45" spans="2:2" x14ac:dyDescent="0.2">
      <c r="B45" s="13" t="s">
        <v>403</v>
      </c>
    </row>
    <row r="46" spans="2:2" x14ac:dyDescent="0.2">
      <c r="B46" s="13" t="s">
        <v>404</v>
      </c>
    </row>
    <row r="47" spans="2:2" x14ac:dyDescent="0.2">
      <c r="B47" s="13" t="s">
        <v>405</v>
      </c>
    </row>
    <row r="48" spans="2:2" x14ac:dyDescent="0.2">
      <c r="B48" s="13" t="s">
        <v>406</v>
      </c>
    </row>
    <row r="49" spans="2:2" x14ac:dyDescent="0.2">
      <c r="B49" s="13" t="s">
        <v>407</v>
      </c>
    </row>
    <row r="50" spans="2:2" x14ac:dyDescent="0.2">
      <c r="B50" s="13" t="s">
        <v>408</v>
      </c>
    </row>
    <row r="51" spans="2:2" x14ac:dyDescent="0.2">
      <c r="B51" s="13" t="s">
        <v>409</v>
      </c>
    </row>
    <row r="52" spans="2:2" x14ac:dyDescent="0.2">
      <c r="B52" s="13" t="s">
        <v>410</v>
      </c>
    </row>
    <row r="53" spans="2:2" x14ac:dyDescent="0.2">
      <c r="B53" s="13" t="s">
        <v>411</v>
      </c>
    </row>
    <row r="54" spans="2:2" x14ac:dyDescent="0.2">
      <c r="B54" s="13" t="s">
        <v>412</v>
      </c>
    </row>
    <row r="55" spans="2:2" x14ac:dyDescent="0.2">
      <c r="B55" s="13" t="s">
        <v>413</v>
      </c>
    </row>
    <row r="56" spans="2:2" x14ac:dyDescent="0.2">
      <c r="B56" s="13" t="s">
        <v>414</v>
      </c>
    </row>
    <row r="57" spans="2:2" x14ac:dyDescent="0.2">
      <c r="B57" s="13" t="s">
        <v>415</v>
      </c>
    </row>
    <row r="58" spans="2:2" x14ac:dyDescent="0.2">
      <c r="B58" s="13" t="s">
        <v>416</v>
      </c>
    </row>
    <row r="59" spans="2:2" x14ac:dyDescent="0.2">
      <c r="B59" s="13" t="s">
        <v>417</v>
      </c>
    </row>
    <row r="60" spans="2:2" x14ac:dyDescent="0.2">
      <c r="B60" s="13" t="s">
        <v>418</v>
      </c>
    </row>
    <row r="61" spans="2:2" x14ac:dyDescent="0.2">
      <c r="B61" s="13" t="s">
        <v>419</v>
      </c>
    </row>
    <row r="62" spans="2:2" x14ac:dyDescent="0.2">
      <c r="B62" s="13" t="s">
        <v>420</v>
      </c>
    </row>
    <row r="63" spans="2:2" x14ac:dyDescent="0.2">
      <c r="B63" s="13" t="s">
        <v>421</v>
      </c>
    </row>
    <row r="64" spans="2:2" x14ac:dyDescent="0.2">
      <c r="B64" s="13" t="s">
        <v>422</v>
      </c>
    </row>
    <row r="65" spans="2:2" x14ac:dyDescent="0.2">
      <c r="B65" s="13" t="s">
        <v>423</v>
      </c>
    </row>
    <row r="66" spans="2:2" x14ac:dyDescent="0.2">
      <c r="B66" s="13" t="s">
        <v>424</v>
      </c>
    </row>
    <row r="67" spans="2:2" x14ac:dyDescent="0.2">
      <c r="B67" s="13" t="s">
        <v>425</v>
      </c>
    </row>
    <row r="68" spans="2:2" x14ac:dyDescent="0.2">
      <c r="B68" s="13" t="s">
        <v>426</v>
      </c>
    </row>
    <row r="69" spans="2:2" x14ac:dyDescent="0.2">
      <c r="B69" s="13" t="s">
        <v>427</v>
      </c>
    </row>
    <row r="70" spans="2:2" x14ac:dyDescent="0.2">
      <c r="B70" s="13" t="s">
        <v>428</v>
      </c>
    </row>
    <row r="71" spans="2:2" x14ac:dyDescent="0.2">
      <c r="B71" s="13" t="s">
        <v>429</v>
      </c>
    </row>
    <row r="72" spans="2:2" x14ac:dyDescent="0.2">
      <c r="B72" s="13" t="s">
        <v>430</v>
      </c>
    </row>
    <row r="73" spans="2:2" x14ac:dyDescent="0.2">
      <c r="B73" s="13" t="s">
        <v>431</v>
      </c>
    </row>
    <row r="74" spans="2:2" x14ac:dyDescent="0.2">
      <c r="B74" s="13" t="s">
        <v>432</v>
      </c>
    </row>
    <row r="75" spans="2:2" x14ac:dyDescent="0.2">
      <c r="B75" s="13" t="s">
        <v>433</v>
      </c>
    </row>
    <row r="76" spans="2:2" x14ac:dyDescent="0.2">
      <c r="B76" s="13" t="s">
        <v>434</v>
      </c>
    </row>
    <row r="77" spans="2:2" x14ac:dyDescent="0.2">
      <c r="B77" s="13" t="s">
        <v>435</v>
      </c>
    </row>
    <row r="78" spans="2:2" x14ac:dyDescent="0.2">
      <c r="B78" s="13" t="s">
        <v>436</v>
      </c>
    </row>
    <row r="79" spans="2:2" x14ac:dyDescent="0.2">
      <c r="B79" s="13" t="s">
        <v>437</v>
      </c>
    </row>
  </sheetData>
  <phoneticPr fontId="1"/>
  <hyperlinks>
    <hyperlink ref="B2" location="'産業大分類'!a1" display="産業大分類" xr:uid="{458E1830-DE6E-4A1D-941E-333D4A3FCBDA}"/>
    <hyperlink ref="B3" location="'産業中分類'!a1" display="産業中分類" xr:uid="{5E8F32CF-5F22-487C-96BC-A707684C44F5}"/>
    <hyperlink ref="B4" location="'産業小分類'!a1" display="産業小分類" xr:uid="{542B8D6E-5F6D-4A1F-86E6-A9DEABBE1133}"/>
    <hyperlink ref="B5" location="'福岡県'!a1" display="福岡県" xr:uid="{CA75CEC7-3C81-421B-B2B5-3369A623F757}"/>
    <hyperlink ref="B6" location="'北九州市'!a1" display="北九州市" xr:uid="{8AE95FA9-5BD7-4B5F-ACB4-F2D5642E41D1}"/>
    <hyperlink ref="B7" location="'北九州市門司区'!a1" display="北九州市門司区" xr:uid="{BDE608AE-980D-49FD-9034-DEEE039CCD5B}"/>
    <hyperlink ref="B8" location="'北九州市若松区'!a1" display="北九州市若松区" xr:uid="{BEBC9A9C-7B7D-45B2-9555-36EF09862912}"/>
    <hyperlink ref="B9" location="'北九州市戸畑区'!a1" display="北九州市戸畑区" xr:uid="{A85B4C2E-F975-4450-9692-1F58DC13B7DF}"/>
    <hyperlink ref="B10" location="'北九州市小倉北区'!a1" display="北九州市小倉北区" xr:uid="{1AEC612C-1FE8-43B4-9410-A00FED8F53C3}"/>
    <hyperlink ref="B11" location="'北九州市小倉南区'!a1" display="北九州市小倉南区" xr:uid="{4A7321C0-BD94-400D-BED4-8230A1FC1697}"/>
    <hyperlink ref="B12" location="'北九州市八幡東区'!a1" display="北九州市八幡東区" xr:uid="{13449B89-900A-428A-975F-1371A88AB9AA}"/>
    <hyperlink ref="B13" location="'北九州市八幡西区'!a1" display="北九州市八幡西区" xr:uid="{1FD0A667-E0CE-457B-B158-2E2AA74C7801}"/>
    <hyperlink ref="B14" location="'福岡市'!a1" display="福岡市" xr:uid="{44C2582A-4949-4CF1-8DF4-4766101D6878}"/>
    <hyperlink ref="B15" location="'福岡市東区'!a1" display="福岡市東区" xr:uid="{30C84061-2BAA-4089-8085-0285C627C606}"/>
    <hyperlink ref="B16" location="'福岡市博多区'!a1" display="福岡市博多区" xr:uid="{C614DDBB-172F-4400-9F35-6908B8C0E828}"/>
    <hyperlink ref="B17" location="'福岡市中央区'!a1" display="福岡市中央区" xr:uid="{71817D28-3CFD-4537-9043-44359973E4E5}"/>
    <hyperlink ref="B18" location="'福岡市南区'!a1" display="福岡市南区" xr:uid="{F893B00C-829D-477D-8C5D-D6EA1A9B1172}"/>
    <hyperlink ref="B19" location="'福岡市西区'!a1" display="福岡市西区" xr:uid="{BB1D9FFC-219F-43CE-9120-C949587C700A}"/>
    <hyperlink ref="B20" location="'福岡市城南区'!a1" display="福岡市城南区" xr:uid="{F924D8A1-A667-4DB3-9C02-8385DC3B5387}"/>
    <hyperlink ref="B21" location="'福岡市早良区'!a1" display="福岡市早良区" xr:uid="{7FD09055-98C7-4298-A910-C2B0DD0181ED}"/>
    <hyperlink ref="B22" location="'大牟田市'!a1" display="大牟田市" xr:uid="{1406EA01-43A4-4C11-98A6-E6E338742CE3}"/>
    <hyperlink ref="B23" location="'久留米市'!a1" display="久留米市" xr:uid="{10309BE1-179A-4860-9383-A2FCB99ED2D7}"/>
    <hyperlink ref="B24" location="'直方市'!a1" display="直方市" xr:uid="{F1725CF7-886A-48CA-A15E-CD7E23726401}"/>
    <hyperlink ref="B25" location="'飯塚市'!a1" display="飯塚市" xr:uid="{6004739D-CC90-4DE4-B300-3FDFDF6146BD}"/>
    <hyperlink ref="B26" location="'田川市'!a1" display="田川市" xr:uid="{C0D30F29-2112-49EC-9D08-E1BEF59FE5FA}"/>
    <hyperlink ref="B27" location="'柳川市'!a1" display="柳川市" xr:uid="{48DC6082-9FEA-48FA-8383-712387F6026A}"/>
    <hyperlink ref="B28" location="'八女市'!a1" display="八女市" xr:uid="{0B7309BC-6712-427E-BED8-594143C5BC9E}"/>
    <hyperlink ref="B29" location="'筑後市'!a1" display="筑後市" xr:uid="{6B84B08F-24BA-4582-94D6-A71CE0BFA8B8}"/>
    <hyperlink ref="B30" location="'大川市'!a1" display="大川市" xr:uid="{BF5DA89F-F449-4B58-9608-A10C55FB2590}"/>
    <hyperlink ref="B31" location="'行橋市'!a1" display="行橋市" xr:uid="{7E2058C0-74E8-4D8F-8B00-A07C81042D49}"/>
    <hyperlink ref="B32" location="'豊前市'!a1" display="豊前市" xr:uid="{665BCA53-A57E-4069-B5A5-62C5EDC764E6}"/>
    <hyperlink ref="B33" location="'中間市'!a1" display="中間市" xr:uid="{69A3E784-57BC-4145-B6C9-04CF87F38BE2}"/>
    <hyperlink ref="B34" location="'小郡市'!a1" display="小郡市" xr:uid="{8CFFBAF3-3777-4CE9-99E2-928E04CA9E42}"/>
    <hyperlink ref="B35" location="'筑紫野市'!a1" display="筑紫野市" xr:uid="{00C2801E-5C90-470B-9FDF-A23B94347250}"/>
    <hyperlink ref="B36" location="'春日市'!a1" display="春日市" xr:uid="{1A23C164-B907-4482-8D3B-B8A0F8D538C6}"/>
    <hyperlink ref="B37" location="'大野城市'!a1" display="大野城市" xr:uid="{E23440FE-D71A-4320-BA45-43C984E42CDB}"/>
    <hyperlink ref="B38" location="'宗像市'!a1" display="宗像市" xr:uid="{887658E2-4E6F-4A54-AC66-3F4F8A748034}"/>
    <hyperlink ref="B39" location="'太宰府市'!a1" display="太宰府市" xr:uid="{449F27F1-0D14-4626-8DDC-00F6F4F4D94A}"/>
    <hyperlink ref="B40" location="'古賀市'!a1" display="古賀市" xr:uid="{8FD4E7B8-289D-415C-851B-5012A2D6917D}"/>
    <hyperlink ref="B41" location="'福津市'!a1" display="福津市" xr:uid="{0A9BF639-01CA-4848-BE5B-0997984DC9D1}"/>
    <hyperlink ref="B42" location="'うきは市'!a1" display="うきは市" xr:uid="{1ADA2EC1-AB7D-493D-8CC5-28F240D72778}"/>
    <hyperlink ref="B43" location="'宮若市'!a1" display="宮若市" xr:uid="{9AB8B9A3-FB4A-4DDD-B7DD-7415AD85FC0C}"/>
    <hyperlink ref="B44" location="'嘉麻市'!a1" display="嘉麻市" xr:uid="{09A51AA0-139A-4A15-B8C8-D769B60619AB}"/>
    <hyperlink ref="B45" location="'朝倉市'!a1" display="朝倉市" xr:uid="{98CBE702-2BF4-48E8-B6D9-C3090EEF9D05}"/>
    <hyperlink ref="B46" location="'みやま市'!a1" display="みやま市" xr:uid="{4A54F8E8-135A-4C59-9D5F-26E8F49144E1}"/>
    <hyperlink ref="B47" location="'糸島市'!a1" display="糸島市" xr:uid="{CD73DBEC-90C8-41E7-98B2-4ECF0C1B8C48}"/>
    <hyperlink ref="B48" location="'那珂川市'!a1" display="那珂川市" xr:uid="{5542A8E8-FA5A-4AF3-85B6-D6DACEB6DB9A}"/>
    <hyperlink ref="B49" location="'糟屋郡宇美町'!a1" display="糟屋郡宇美町" xr:uid="{C83CDAD7-708F-4C1A-9A21-D2FE088E2EE9}"/>
    <hyperlink ref="B50" location="'糟屋郡篠栗町'!a1" display="糟屋郡篠栗町" xr:uid="{9E8C920A-5DBE-4EA8-BEDB-EE5609247F31}"/>
    <hyperlink ref="B51" location="'糟屋郡志免町'!a1" display="糟屋郡志免町" xr:uid="{1433A8EA-E5CB-4E23-A379-15FA07B6027E}"/>
    <hyperlink ref="B52" location="'糟屋郡須恵町'!a1" display="糟屋郡須恵町" xr:uid="{CA15E179-1320-4904-9E40-003D5745DE8A}"/>
    <hyperlink ref="B53" location="'糟屋郡新宮町'!a1" display="糟屋郡新宮町" xr:uid="{36EDE105-6E18-4AB4-8E66-807D63344D21}"/>
    <hyperlink ref="B54" location="'糟屋郡久山町'!a1" display="糟屋郡久山町" xr:uid="{BFE18269-015A-46F0-9109-951FB63D2049}"/>
    <hyperlink ref="B55" location="'糟屋郡粕屋町'!a1" display="糟屋郡粕屋町" xr:uid="{55A76DA3-F4EA-465B-9BE2-3595A86BA639}"/>
    <hyperlink ref="B56" location="'遠賀郡芦屋町'!a1" display="遠賀郡芦屋町" xr:uid="{4FB71936-2EE8-47C6-816A-A3590E112E1D}"/>
    <hyperlink ref="B57" location="'遠賀郡水巻町'!a1" display="遠賀郡水巻町" xr:uid="{5ACDB40F-DDD3-4D27-9B84-58B3F4005865}"/>
    <hyperlink ref="B58" location="'遠賀郡岡垣町'!a1" display="遠賀郡岡垣町" xr:uid="{2BC1C0DC-F048-4169-BFB4-D1407DE6E43F}"/>
    <hyperlink ref="B59" location="'遠賀郡遠賀町'!a1" display="遠賀郡遠賀町" xr:uid="{DC06F88E-DF8F-4881-8B4B-17C6B65759DF}"/>
    <hyperlink ref="B60" location="'鞍手郡小竹町'!a1" display="鞍手郡小竹町" xr:uid="{2AF97DB7-4FFC-4680-BD3B-4FD7D5F79253}"/>
    <hyperlink ref="B61" location="'鞍手郡鞍手町'!a1" display="鞍手郡鞍手町" xr:uid="{5F1CE683-744E-4A36-8784-BB983A15AE3E}"/>
    <hyperlink ref="B62" location="'嘉穂郡桂川町'!a1" display="嘉穂郡桂川町" xr:uid="{0B8D0630-6441-495E-B6E8-43A94DCD9D32}"/>
    <hyperlink ref="B63" location="'朝倉郡筑前町'!a1" display="朝倉郡筑前町" xr:uid="{B7095DA7-04AE-4AAE-AE75-F743BF250A56}"/>
    <hyperlink ref="B64" location="'朝倉郡東峰村'!a1" display="朝倉郡東峰村" xr:uid="{355CEABE-9BDB-4F2B-B18B-8E8D85B79102}"/>
    <hyperlink ref="B65" location="'三井郡大刀洗町'!a1" display="三井郡大刀洗町" xr:uid="{1EFC2CBC-BD92-4A26-A9DB-832EFBCB2E98}"/>
    <hyperlink ref="B66" location="'三潴郡大木町'!a1" display="三潴郡大木町" xr:uid="{9A01DE94-CE56-46AE-8588-33268AC35DC7}"/>
    <hyperlink ref="B67" location="'八女郡広川町'!a1" display="八女郡広川町" xr:uid="{B876EEB4-1618-4333-85C7-F4FF6DD141D0}"/>
    <hyperlink ref="B68" location="'田川郡香春町'!a1" display="田川郡香春町" xr:uid="{C4D14089-1365-4BEE-A2A6-8573DD39C7D1}"/>
    <hyperlink ref="B69" location="'田川郡添田町'!a1" display="田川郡添田町" xr:uid="{84BEB19E-18D7-4DD3-966F-013D923386D2}"/>
    <hyperlink ref="B70" location="'田川郡糸田町'!a1" display="田川郡糸田町" xr:uid="{27963D95-B365-4350-9A73-E7D91A3E2A81}"/>
    <hyperlink ref="B71" location="'田川郡川崎町'!a1" display="田川郡川崎町" xr:uid="{19846EE8-2E68-4FBC-BDA4-90EF057897D5}"/>
    <hyperlink ref="B72" location="'田川郡大任町'!a1" display="田川郡大任町" xr:uid="{C9FA1599-CB12-45DF-86E9-66DAF9A5C304}"/>
    <hyperlink ref="B73" location="'田川郡赤村'!a1" display="田川郡赤村" xr:uid="{03A20EEE-4A85-490C-A80F-0075E584C875}"/>
    <hyperlink ref="B74" location="'田川郡福智町'!a1" display="田川郡福智町" xr:uid="{59524808-30B0-434D-A112-F095055205B4}"/>
    <hyperlink ref="B75" location="'京都郡苅田町'!a1" display="京都郡苅田町" xr:uid="{ABDD1B22-3997-421A-815D-CDD22E45ACB3}"/>
    <hyperlink ref="B76" location="'京都郡みやこ町'!a1" display="京都郡みやこ町" xr:uid="{B4488527-00F3-42ED-9EFE-99CABA5A1880}"/>
    <hyperlink ref="B77" location="'築上郡吉富町'!a1" display="築上郡吉富町" xr:uid="{41A8722A-3AB3-46C9-A2BD-B7A262318B85}"/>
    <hyperlink ref="B78" location="'築上郡上毛町'!a1" display="築上郡上毛町" xr:uid="{393A5446-A492-453D-ADC6-5FEDC07CF10E}"/>
    <hyperlink ref="B79" location="'築上郡築上町'!a1" display="築上郡築上町" xr:uid="{4AACE31D-47E6-45F8-BFE4-2EBD24C18A6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420D7-7001-4468-887A-E24D674FB4A8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293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1</v>
      </c>
      <c r="D5" s="8">
        <v>0.02</v>
      </c>
      <c r="E5" s="12">
        <v>0</v>
      </c>
      <c r="F5" s="8">
        <v>0</v>
      </c>
      <c r="G5" s="12">
        <v>1</v>
      </c>
      <c r="H5" s="8">
        <v>0.03</v>
      </c>
      <c r="I5" s="12">
        <v>0</v>
      </c>
    </row>
    <row r="6" spans="2:9" ht="15" customHeight="1" x14ac:dyDescent="0.2">
      <c r="B6" t="s">
        <v>76</v>
      </c>
      <c r="C6" s="12">
        <v>569</v>
      </c>
      <c r="D6" s="8">
        <v>9.23</v>
      </c>
      <c r="E6" s="12">
        <v>68</v>
      </c>
      <c r="F6" s="8">
        <v>2.4</v>
      </c>
      <c r="G6" s="12">
        <v>501</v>
      </c>
      <c r="H6" s="8">
        <v>15.2</v>
      </c>
      <c r="I6" s="12">
        <v>0</v>
      </c>
    </row>
    <row r="7" spans="2:9" ht="15" customHeight="1" x14ac:dyDescent="0.2">
      <c r="B7" t="s">
        <v>77</v>
      </c>
      <c r="C7" s="12">
        <v>239</v>
      </c>
      <c r="D7" s="8">
        <v>3.88</v>
      </c>
      <c r="E7" s="12">
        <v>61</v>
      </c>
      <c r="F7" s="8">
        <v>2.15</v>
      </c>
      <c r="G7" s="12">
        <v>178</v>
      </c>
      <c r="H7" s="8">
        <v>5.4</v>
      </c>
      <c r="I7" s="12">
        <v>0</v>
      </c>
    </row>
    <row r="8" spans="2:9" ht="15" customHeight="1" x14ac:dyDescent="0.2">
      <c r="B8" t="s">
        <v>78</v>
      </c>
      <c r="C8" s="12">
        <v>6</v>
      </c>
      <c r="D8" s="8">
        <v>0.1</v>
      </c>
      <c r="E8" s="12">
        <v>0</v>
      </c>
      <c r="F8" s="8">
        <v>0</v>
      </c>
      <c r="G8" s="12">
        <v>6</v>
      </c>
      <c r="H8" s="8">
        <v>0.18</v>
      </c>
      <c r="I8" s="12">
        <v>0</v>
      </c>
    </row>
    <row r="9" spans="2:9" ht="15" customHeight="1" x14ac:dyDescent="0.2">
      <c r="B9" t="s">
        <v>79</v>
      </c>
      <c r="C9" s="12">
        <v>66</v>
      </c>
      <c r="D9" s="8">
        <v>1.07</v>
      </c>
      <c r="E9" s="12">
        <v>8</v>
      </c>
      <c r="F9" s="8">
        <v>0.28000000000000003</v>
      </c>
      <c r="G9" s="12">
        <v>58</v>
      </c>
      <c r="H9" s="8">
        <v>1.76</v>
      </c>
      <c r="I9" s="12">
        <v>0</v>
      </c>
    </row>
    <row r="10" spans="2:9" ht="15" customHeight="1" x14ac:dyDescent="0.2">
      <c r="B10" t="s">
        <v>80</v>
      </c>
      <c r="C10" s="12">
        <v>72</v>
      </c>
      <c r="D10" s="8">
        <v>1.17</v>
      </c>
      <c r="E10" s="12">
        <v>14</v>
      </c>
      <c r="F10" s="8">
        <v>0.49</v>
      </c>
      <c r="G10" s="12">
        <v>56</v>
      </c>
      <c r="H10" s="8">
        <v>1.7</v>
      </c>
      <c r="I10" s="12">
        <v>0</v>
      </c>
    </row>
    <row r="11" spans="2:9" ht="15" customHeight="1" x14ac:dyDescent="0.2">
      <c r="B11" t="s">
        <v>81</v>
      </c>
      <c r="C11" s="12">
        <v>1628</v>
      </c>
      <c r="D11" s="8">
        <v>26.4</v>
      </c>
      <c r="E11" s="12">
        <v>606</v>
      </c>
      <c r="F11" s="8">
        <v>21.41</v>
      </c>
      <c r="G11" s="12">
        <v>1018</v>
      </c>
      <c r="H11" s="8">
        <v>30.89</v>
      </c>
      <c r="I11" s="12">
        <v>4</v>
      </c>
    </row>
    <row r="12" spans="2:9" ht="15" customHeight="1" x14ac:dyDescent="0.2">
      <c r="B12" t="s">
        <v>82</v>
      </c>
      <c r="C12" s="12">
        <v>89</v>
      </c>
      <c r="D12" s="8">
        <v>1.44</v>
      </c>
      <c r="E12" s="12">
        <v>5</v>
      </c>
      <c r="F12" s="8">
        <v>0.18</v>
      </c>
      <c r="G12" s="12">
        <v>84</v>
      </c>
      <c r="H12" s="8">
        <v>2.5499999999999998</v>
      </c>
      <c r="I12" s="12">
        <v>0</v>
      </c>
    </row>
    <row r="13" spans="2:9" ht="15" customHeight="1" x14ac:dyDescent="0.2">
      <c r="B13" t="s">
        <v>83</v>
      </c>
      <c r="C13" s="12">
        <v>738</v>
      </c>
      <c r="D13" s="8">
        <v>11.97</v>
      </c>
      <c r="E13" s="12">
        <v>255</v>
      </c>
      <c r="F13" s="8">
        <v>9.01</v>
      </c>
      <c r="G13" s="12">
        <v>482</v>
      </c>
      <c r="H13" s="8">
        <v>14.62</v>
      </c>
      <c r="I13" s="12">
        <v>1</v>
      </c>
    </row>
    <row r="14" spans="2:9" ht="15" customHeight="1" x14ac:dyDescent="0.2">
      <c r="B14" t="s">
        <v>84</v>
      </c>
      <c r="C14" s="12">
        <v>383</v>
      </c>
      <c r="D14" s="8">
        <v>6.21</v>
      </c>
      <c r="E14" s="12">
        <v>182</v>
      </c>
      <c r="F14" s="8">
        <v>6.43</v>
      </c>
      <c r="G14" s="12">
        <v>201</v>
      </c>
      <c r="H14" s="8">
        <v>6.1</v>
      </c>
      <c r="I14" s="12">
        <v>0</v>
      </c>
    </row>
    <row r="15" spans="2:9" ht="15" customHeight="1" x14ac:dyDescent="0.2">
      <c r="B15" t="s">
        <v>85</v>
      </c>
      <c r="C15" s="12">
        <v>1013</v>
      </c>
      <c r="D15" s="8">
        <v>16.43</v>
      </c>
      <c r="E15" s="12">
        <v>837</v>
      </c>
      <c r="F15" s="8">
        <v>29.57</v>
      </c>
      <c r="G15" s="12">
        <v>176</v>
      </c>
      <c r="H15" s="8">
        <v>5.34</v>
      </c>
      <c r="I15" s="12">
        <v>0</v>
      </c>
    </row>
    <row r="16" spans="2:9" ht="15" customHeight="1" x14ac:dyDescent="0.2">
      <c r="B16" t="s">
        <v>86</v>
      </c>
      <c r="C16" s="12">
        <v>699</v>
      </c>
      <c r="D16" s="8">
        <v>11.34</v>
      </c>
      <c r="E16" s="12">
        <v>486</v>
      </c>
      <c r="F16" s="8">
        <v>17.170000000000002</v>
      </c>
      <c r="G16" s="12">
        <v>212</v>
      </c>
      <c r="H16" s="8">
        <v>6.43</v>
      </c>
      <c r="I16" s="12">
        <v>1</v>
      </c>
    </row>
    <row r="17" spans="2:9" ht="15" customHeight="1" x14ac:dyDescent="0.2">
      <c r="B17" t="s">
        <v>87</v>
      </c>
      <c r="C17" s="12">
        <v>148</v>
      </c>
      <c r="D17" s="8">
        <v>2.4</v>
      </c>
      <c r="E17" s="12">
        <v>89</v>
      </c>
      <c r="F17" s="8">
        <v>3.14</v>
      </c>
      <c r="G17" s="12">
        <v>56</v>
      </c>
      <c r="H17" s="8">
        <v>1.7</v>
      </c>
      <c r="I17" s="12">
        <v>1</v>
      </c>
    </row>
    <row r="18" spans="2:9" ht="15" customHeight="1" x14ac:dyDescent="0.2">
      <c r="B18" t="s">
        <v>88</v>
      </c>
      <c r="C18" s="12">
        <v>267</v>
      </c>
      <c r="D18" s="8">
        <v>4.33</v>
      </c>
      <c r="E18" s="12">
        <v>180</v>
      </c>
      <c r="F18" s="8">
        <v>6.36</v>
      </c>
      <c r="G18" s="12">
        <v>87</v>
      </c>
      <c r="H18" s="8">
        <v>2.64</v>
      </c>
      <c r="I18" s="12">
        <v>0</v>
      </c>
    </row>
    <row r="19" spans="2:9" ht="15" customHeight="1" x14ac:dyDescent="0.2">
      <c r="B19" t="s">
        <v>89</v>
      </c>
      <c r="C19" s="12">
        <v>248</v>
      </c>
      <c r="D19" s="8">
        <v>4.0199999999999996</v>
      </c>
      <c r="E19" s="12">
        <v>40</v>
      </c>
      <c r="F19" s="8">
        <v>1.41</v>
      </c>
      <c r="G19" s="12">
        <v>180</v>
      </c>
      <c r="H19" s="8">
        <v>5.46</v>
      </c>
      <c r="I19" s="12">
        <v>6</v>
      </c>
    </row>
    <row r="20" spans="2:9" ht="15" customHeight="1" x14ac:dyDescent="0.2">
      <c r="B20" s="9" t="s">
        <v>285</v>
      </c>
      <c r="C20" s="12">
        <f>SUM(LTBL_40106[総数／事業所数])</f>
        <v>6166</v>
      </c>
      <c r="E20" s="12">
        <f>SUBTOTAL(109,LTBL_40106[個人／事業所数])</f>
        <v>2831</v>
      </c>
      <c r="G20" s="12">
        <f>SUBTOTAL(109,LTBL_40106[法人／事業所数])</f>
        <v>3296</v>
      </c>
      <c r="I20" s="12">
        <f>SUBTOTAL(109,LTBL_40106[法人以外の団体／事業所数])</f>
        <v>13</v>
      </c>
    </row>
    <row r="21" spans="2:9" ht="15" customHeight="1" x14ac:dyDescent="0.2">
      <c r="E21" s="11">
        <f>LTBL_40106[[#Totals],[個人／事業所数]]/LTBL_40106[[#Totals],[総数／事業所数]]</f>
        <v>0.45913071683425233</v>
      </c>
      <c r="G21" s="11">
        <f>LTBL_40106[[#Totals],[法人／事業所数]]/LTBL_40106[[#Totals],[総数／事業所数]]</f>
        <v>0.53454427505676294</v>
      </c>
      <c r="I21" s="11">
        <f>LTBL_40106[[#Totals],[法人以外の団体／事業所数]]/LTBL_40106[[#Totals],[総数／事業所数]]</f>
        <v>2.1083360363282518E-3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112</v>
      </c>
      <c r="C24" s="12">
        <v>945</v>
      </c>
      <c r="D24" s="8">
        <v>15.33</v>
      </c>
      <c r="E24" s="12">
        <v>815</v>
      </c>
      <c r="F24" s="8">
        <v>28.79</v>
      </c>
      <c r="G24" s="12">
        <v>130</v>
      </c>
      <c r="H24" s="8">
        <v>3.94</v>
      </c>
      <c r="I24" s="12">
        <v>0</v>
      </c>
    </row>
    <row r="25" spans="2:9" ht="15" customHeight="1" x14ac:dyDescent="0.2">
      <c r="B25" t="s">
        <v>109</v>
      </c>
      <c r="C25" s="12">
        <v>593</v>
      </c>
      <c r="D25" s="8">
        <v>9.6199999999999992</v>
      </c>
      <c r="E25" s="12">
        <v>244</v>
      </c>
      <c r="F25" s="8">
        <v>8.6199999999999992</v>
      </c>
      <c r="G25" s="12">
        <v>348</v>
      </c>
      <c r="H25" s="8">
        <v>10.56</v>
      </c>
      <c r="I25" s="12">
        <v>1</v>
      </c>
    </row>
    <row r="26" spans="2:9" ht="15" customHeight="1" x14ac:dyDescent="0.2">
      <c r="B26" t="s">
        <v>113</v>
      </c>
      <c r="C26" s="12">
        <v>540</v>
      </c>
      <c r="D26" s="8">
        <v>8.76</v>
      </c>
      <c r="E26" s="12">
        <v>413</v>
      </c>
      <c r="F26" s="8">
        <v>14.59</v>
      </c>
      <c r="G26" s="12">
        <v>127</v>
      </c>
      <c r="H26" s="8">
        <v>3.85</v>
      </c>
      <c r="I26" s="12">
        <v>0</v>
      </c>
    </row>
    <row r="27" spans="2:9" ht="15" customHeight="1" x14ac:dyDescent="0.2">
      <c r="B27" t="s">
        <v>107</v>
      </c>
      <c r="C27" s="12">
        <v>437</v>
      </c>
      <c r="D27" s="8">
        <v>7.09</v>
      </c>
      <c r="E27" s="12">
        <v>196</v>
      </c>
      <c r="F27" s="8">
        <v>6.92</v>
      </c>
      <c r="G27" s="12">
        <v>239</v>
      </c>
      <c r="H27" s="8">
        <v>7.25</v>
      </c>
      <c r="I27" s="12">
        <v>2</v>
      </c>
    </row>
    <row r="28" spans="2:9" ht="15" customHeight="1" x14ac:dyDescent="0.2">
      <c r="B28" t="s">
        <v>105</v>
      </c>
      <c r="C28" s="12">
        <v>343</v>
      </c>
      <c r="D28" s="8">
        <v>5.56</v>
      </c>
      <c r="E28" s="12">
        <v>216</v>
      </c>
      <c r="F28" s="8">
        <v>7.63</v>
      </c>
      <c r="G28" s="12">
        <v>127</v>
      </c>
      <c r="H28" s="8">
        <v>3.85</v>
      </c>
      <c r="I28" s="12">
        <v>0</v>
      </c>
    </row>
    <row r="29" spans="2:9" ht="15" customHeight="1" x14ac:dyDescent="0.2">
      <c r="B29" t="s">
        <v>110</v>
      </c>
      <c r="C29" s="12">
        <v>252</v>
      </c>
      <c r="D29" s="8">
        <v>4.09</v>
      </c>
      <c r="E29" s="12">
        <v>155</v>
      </c>
      <c r="F29" s="8">
        <v>5.48</v>
      </c>
      <c r="G29" s="12">
        <v>97</v>
      </c>
      <c r="H29" s="8">
        <v>2.94</v>
      </c>
      <c r="I29" s="12">
        <v>0</v>
      </c>
    </row>
    <row r="30" spans="2:9" ht="15" customHeight="1" x14ac:dyDescent="0.2">
      <c r="B30" t="s">
        <v>98</v>
      </c>
      <c r="C30" s="12">
        <v>242</v>
      </c>
      <c r="D30" s="8">
        <v>3.92</v>
      </c>
      <c r="E30" s="12">
        <v>13</v>
      </c>
      <c r="F30" s="8">
        <v>0.46</v>
      </c>
      <c r="G30" s="12">
        <v>229</v>
      </c>
      <c r="H30" s="8">
        <v>6.95</v>
      </c>
      <c r="I30" s="12">
        <v>0</v>
      </c>
    </row>
    <row r="31" spans="2:9" ht="15" customHeight="1" x14ac:dyDescent="0.2">
      <c r="B31" t="s">
        <v>104</v>
      </c>
      <c r="C31" s="12">
        <v>236</v>
      </c>
      <c r="D31" s="8">
        <v>3.83</v>
      </c>
      <c r="E31" s="12">
        <v>98</v>
      </c>
      <c r="F31" s="8">
        <v>3.46</v>
      </c>
      <c r="G31" s="12">
        <v>136</v>
      </c>
      <c r="H31" s="8">
        <v>4.13</v>
      </c>
      <c r="I31" s="12">
        <v>2</v>
      </c>
    </row>
    <row r="32" spans="2:9" ht="15" customHeight="1" x14ac:dyDescent="0.2">
      <c r="B32" t="s">
        <v>115</v>
      </c>
      <c r="C32" s="12">
        <v>204</v>
      </c>
      <c r="D32" s="8">
        <v>3.31</v>
      </c>
      <c r="E32" s="12">
        <v>179</v>
      </c>
      <c r="F32" s="8">
        <v>6.32</v>
      </c>
      <c r="G32" s="12">
        <v>25</v>
      </c>
      <c r="H32" s="8">
        <v>0.76</v>
      </c>
      <c r="I32" s="12">
        <v>0</v>
      </c>
    </row>
    <row r="33" spans="2:9" ht="15" customHeight="1" x14ac:dyDescent="0.2">
      <c r="B33" t="s">
        <v>100</v>
      </c>
      <c r="C33" s="12">
        <v>177</v>
      </c>
      <c r="D33" s="8">
        <v>2.87</v>
      </c>
      <c r="E33" s="12">
        <v>20</v>
      </c>
      <c r="F33" s="8">
        <v>0.71</v>
      </c>
      <c r="G33" s="12">
        <v>157</v>
      </c>
      <c r="H33" s="8">
        <v>4.76</v>
      </c>
      <c r="I33" s="12">
        <v>0</v>
      </c>
    </row>
    <row r="34" spans="2:9" ht="15" customHeight="1" x14ac:dyDescent="0.2">
      <c r="B34" t="s">
        <v>102</v>
      </c>
      <c r="C34" s="12">
        <v>159</v>
      </c>
      <c r="D34" s="8">
        <v>2.58</v>
      </c>
      <c r="E34" s="12">
        <v>7</v>
      </c>
      <c r="F34" s="8">
        <v>0.25</v>
      </c>
      <c r="G34" s="12">
        <v>152</v>
      </c>
      <c r="H34" s="8">
        <v>4.6100000000000003</v>
      </c>
      <c r="I34" s="12">
        <v>0</v>
      </c>
    </row>
    <row r="35" spans="2:9" ht="15" customHeight="1" x14ac:dyDescent="0.2">
      <c r="B35" t="s">
        <v>99</v>
      </c>
      <c r="C35" s="12">
        <v>150</v>
      </c>
      <c r="D35" s="8">
        <v>2.4300000000000002</v>
      </c>
      <c r="E35" s="12">
        <v>35</v>
      </c>
      <c r="F35" s="8">
        <v>1.24</v>
      </c>
      <c r="G35" s="12">
        <v>115</v>
      </c>
      <c r="H35" s="8">
        <v>3.49</v>
      </c>
      <c r="I35" s="12">
        <v>0</v>
      </c>
    </row>
    <row r="36" spans="2:9" ht="15" customHeight="1" x14ac:dyDescent="0.2">
      <c r="B36" t="s">
        <v>114</v>
      </c>
      <c r="C36" s="12">
        <v>148</v>
      </c>
      <c r="D36" s="8">
        <v>2.4</v>
      </c>
      <c r="E36" s="12">
        <v>89</v>
      </c>
      <c r="F36" s="8">
        <v>3.14</v>
      </c>
      <c r="G36" s="12">
        <v>56</v>
      </c>
      <c r="H36" s="8">
        <v>1.7</v>
      </c>
      <c r="I36" s="12">
        <v>1</v>
      </c>
    </row>
    <row r="37" spans="2:9" ht="15" customHeight="1" x14ac:dyDescent="0.2">
      <c r="B37" t="s">
        <v>103</v>
      </c>
      <c r="C37" s="12">
        <v>120</v>
      </c>
      <c r="D37" s="8">
        <v>1.95</v>
      </c>
      <c r="E37" s="12">
        <v>15</v>
      </c>
      <c r="F37" s="8">
        <v>0.53</v>
      </c>
      <c r="G37" s="12">
        <v>105</v>
      </c>
      <c r="H37" s="8">
        <v>3.19</v>
      </c>
      <c r="I37" s="12">
        <v>0</v>
      </c>
    </row>
    <row r="38" spans="2:9" ht="15" customHeight="1" x14ac:dyDescent="0.2">
      <c r="B38" t="s">
        <v>108</v>
      </c>
      <c r="C38" s="12">
        <v>108</v>
      </c>
      <c r="D38" s="8">
        <v>1.75</v>
      </c>
      <c r="E38" s="12">
        <v>10</v>
      </c>
      <c r="F38" s="8">
        <v>0.35</v>
      </c>
      <c r="G38" s="12">
        <v>98</v>
      </c>
      <c r="H38" s="8">
        <v>2.97</v>
      </c>
      <c r="I38" s="12">
        <v>0</v>
      </c>
    </row>
    <row r="39" spans="2:9" ht="15" customHeight="1" x14ac:dyDescent="0.2">
      <c r="B39" t="s">
        <v>111</v>
      </c>
      <c r="C39" s="12">
        <v>108</v>
      </c>
      <c r="D39" s="8">
        <v>1.75</v>
      </c>
      <c r="E39" s="12">
        <v>26</v>
      </c>
      <c r="F39" s="8">
        <v>0.92</v>
      </c>
      <c r="G39" s="12">
        <v>82</v>
      </c>
      <c r="H39" s="8">
        <v>2.4900000000000002</v>
      </c>
      <c r="I39" s="12">
        <v>0</v>
      </c>
    </row>
    <row r="40" spans="2:9" ht="15" customHeight="1" x14ac:dyDescent="0.2">
      <c r="B40" t="s">
        <v>118</v>
      </c>
      <c r="C40" s="12">
        <v>101</v>
      </c>
      <c r="D40" s="8">
        <v>1.64</v>
      </c>
      <c r="E40" s="12">
        <v>43</v>
      </c>
      <c r="F40" s="8">
        <v>1.52</v>
      </c>
      <c r="G40" s="12">
        <v>58</v>
      </c>
      <c r="H40" s="8">
        <v>1.76</v>
      </c>
      <c r="I40" s="12">
        <v>0</v>
      </c>
    </row>
    <row r="41" spans="2:9" ht="15" customHeight="1" x14ac:dyDescent="0.2">
      <c r="B41" t="s">
        <v>101</v>
      </c>
      <c r="C41" s="12">
        <v>99</v>
      </c>
      <c r="D41" s="8">
        <v>1.61</v>
      </c>
      <c r="E41" s="12">
        <v>6</v>
      </c>
      <c r="F41" s="8">
        <v>0.21</v>
      </c>
      <c r="G41" s="12">
        <v>93</v>
      </c>
      <c r="H41" s="8">
        <v>2.82</v>
      </c>
      <c r="I41" s="12">
        <v>0</v>
      </c>
    </row>
    <row r="42" spans="2:9" ht="15" customHeight="1" x14ac:dyDescent="0.2">
      <c r="B42" t="s">
        <v>117</v>
      </c>
      <c r="C42" s="12">
        <v>97</v>
      </c>
      <c r="D42" s="8">
        <v>1.57</v>
      </c>
      <c r="E42" s="12">
        <v>4</v>
      </c>
      <c r="F42" s="8">
        <v>0.14000000000000001</v>
      </c>
      <c r="G42" s="12">
        <v>90</v>
      </c>
      <c r="H42" s="8">
        <v>2.73</v>
      </c>
      <c r="I42" s="12">
        <v>3</v>
      </c>
    </row>
    <row r="43" spans="2:9" ht="15" customHeight="1" x14ac:dyDescent="0.2">
      <c r="B43" t="s">
        <v>122</v>
      </c>
      <c r="C43" s="12">
        <v>89</v>
      </c>
      <c r="D43" s="8">
        <v>1.44</v>
      </c>
      <c r="E43" s="12">
        <v>5</v>
      </c>
      <c r="F43" s="8">
        <v>0.18</v>
      </c>
      <c r="G43" s="12">
        <v>84</v>
      </c>
      <c r="H43" s="8">
        <v>2.5499999999999998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164</v>
      </c>
      <c r="C47" s="12">
        <v>322</v>
      </c>
      <c r="D47" s="8">
        <v>5.22</v>
      </c>
      <c r="E47" s="12">
        <v>152</v>
      </c>
      <c r="F47" s="8">
        <v>5.37</v>
      </c>
      <c r="G47" s="12">
        <v>170</v>
      </c>
      <c r="H47" s="8">
        <v>5.16</v>
      </c>
      <c r="I47" s="12">
        <v>0</v>
      </c>
    </row>
    <row r="48" spans="2:9" ht="15" customHeight="1" x14ac:dyDescent="0.2">
      <c r="B48" t="s">
        <v>170</v>
      </c>
      <c r="C48" s="12">
        <v>304</v>
      </c>
      <c r="D48" s="8">
        <v>4.93</v>
      </c>
      <c r="E48" s="12">
        <v>244</v>
      </c>
      <c r="F48" s="8">
        <v>8.6199999999999992</v>
      </c>
      <c r="G48" s="12">
        <v>60</v>
      </c>
      <c r="H48" s="8">
        <v>1.82</v>
      </c>
      <c r="I48" s="12">
        <v>0</v>
      </c>
    </row>
    <row r="49" spans="2:9" ht="15" customHeight="1" x14ac:dyDescent="0.2">
      <c r="B49" t="s">
        <v>168</v>
      </c>
      <c r="C49" s="12">
        <v>244</v>
      </c>
      <c r="D49" s="8">
        <v>3.96</v>
      </c>
      <c r="E49" s="12">
        <v>234</v>
      </c>
      <c r="F49" s="8">
        <v>8.27</v>
      </c>
      <c r="G49" s="12">
        <v>10</v>
      </c>
      <c r="H49" s="8">
        <v>0.3</v>
      </c>
      <c r="I49" s="12">
        <v>0</v>
      </c>
    </row>
    <row r="50" spans="2:9" ht="15" customHeight="1" x14ac:dyDescent="0.2">
      <c r="B50" t="s">
        <v>166</v>
      </c>
      <c r="C50" s="12">
        <v>242</v>
      </c>
      <c r="D50" s="8">
        <v>3.92</v>
      </c>
      <c r="E50" s="12">
        <v>187</v>
      </c>
      <c r="F50" s="8">
        <v>6.61</v>
      </c>
      <c r="G50" s="12">
        <v>55</v>
      </c>
      <c r="H50" s="8">
        <v>1.67</v>
      </c>
      <c r="I50" s="12">
        <v>0</v>
      </c>
    </row>
    <row r="51" spans="2:9" ht="15" customHeight="1" x14ac:dyDescent="0.2">
      <c r="B51" t="s">
        <v>167</v>
      </c>
      <c r="C51" s="12">
        <v>221</v>
      </c>
      <c r="D51" s="8">
        <v>3.58</v>
      </c>
      <c r="E51" s="12">
        <v>195</v>
      </c>
      <c r="F51" s="8">
        <v>6.89</v>
      </c>
      <c r="G51" s="12">
        <v>26</v>
      </c>
      <c r="H51" s="8">
        <v>0.79</v>
      </c>
      <c r="I51" s="12">
        <v>0</v>
      </c>
    </row>
    <row r="52" spans="2:9" ht="15" customHeight="1" x14ac:dyDescent="0.2">
      <c r="B52" t="s">
        <v>161</v>
      </c>
      <c r="C52" s="12">
        <v>165</v>
      </c>
      <c r="D52" s="8">
        <v>2.68</v>
      </c>
      <c r="E52" s="12">
        <v>102</v>
      </c>
      <c r="F52" s="8">
        <v>3.6</v>
      </c>
      <c r="G52" s="12">
        <v>63</v>
      </c>
      <c r="H52" s="8">
        <v>1.91</v>
      </c>
      <c r="I52" s="12">
        <v>0</v>
      </c>
    </row>
    <row r="53" spans="2:9" ht="15" customHeight="1" x14ac:dyDescent="0.2">
      <c r="B53" t="s">
        <v>158</v>
      </c>
      <c r="C53" s="12">
        <v>139</v>
      </c>
      <c r="D53" s="8">
        <v>2.25</v>
      </c>
      <c r="E53" s="12">
        <v>82</v>
      </c>
      <c r="F53" s="8">
        <v>2.9</v>
      </c>
      <c r="G53" s="12">
        <v>57</v>
      </c>
      <c r="H53" s="8">
        <v>1.73</v>
      </c>
      <c r="I53" s="12">
        <v>0</v>
      </c>
    </row>
    <row r="54" spans="2:9" ht="15" customHeight="1" x14ac:dyDescent="0.2">
      <c r="B54" t="s">
        <v>160</v>
      </c>
      <c r="C54" s="12">
        <v>137</v>
      </c>
      <c r="D54" s="8">
        <v>2.2200000000000002</v>
      </c>
      <c r="E54" s="12">
        <v>35</v>
      </c>
      <c r="F54" s="8">
        <v>1.24</v>
      </c>
      <c r="G54" s="12">
        <v>102</v>
      </c>
      <c r="H54" s="8">
        <v>3.09</v>
      </c>
      <c r="I54" s="12">
        <v>0</v>
      </c>
    </row>
    <row r="55" spans="2:9" ht="15" customHeight="1" x14ac:dyDescent="0.2">
      <c r="B55" t="s">
        <v>163</v>
      </c>
      <c r="C55" s="12">
        <v>125</v>
      </c>
      <c r="D55" s="8">
        <v>2.0299999999999998</v>
      </c>
      <c r="E55" s="12">
        <v>24</v>
      </c>
      <c r="F55" s="8">
        <v>0.85</v>
      </c>
      <c r="G55" s="12">
        <v>101</v>
      </c>
      <c r="H55" s="8">
        <v>3.06</v>
      </c>
      <c r="I55" s="12">
        <v>0</v>
      </c>
    </row>
    <row r="56" spans="2:9" ht="15" customHeight="1" x14ac:dyDescent="0.2">
      <c r="B56" t="s">
        <v>169</v>
      </c>
      <c r="C56" s="12">
        <v>124</v>
      </c>
      <c r="D56" s="8">
        <v>2.0099999999999998</v>
      </c>
      <c r="E56" s="12">
        <v>120</v>
      </c>
      <c r="F56" s="8">
        <v>4.24</v>
      </c>
      <c r="G56" s="12">
        <v>4</v>
      </c>
      <c r="H56" s="8">
        <v>0.12</v>
      </c>
      <c r="I56" s="12">
        <v>0</v>
      </c>
    </row>
    <row r="57" spans="2:9" ht="15" customHeight="1" x14ac:dyDescent="0.2">
      <c r="B57" t="s">
        <v>157</v>
      </c>
      <c r="C57" s="12">
        <v>123</v>
      </c>
      <c r="D57" s="8">
        <v>1.99</v>
      </c>
      <c r="E57" s="12">
        <v>55</v>
      </c>
      <c r="F57" s="8">
        <v>1.94</v>
      </c>
      <c r="G57" s="12">
        <v>68</v>
      </c>
      <c r="H57" s="8">
        <v>2.06</v>
      </c>
      <c r="I57" s="12">
        <v>0</v>
      </c>
    </row>
    <row r="58" spans="2:9" ht="15" customHeight="1" x14ac:dyDescent="0.2">
      <c r="B58" t="s">
        <v>172</v>
      </c>
      <c r="C58" s="12">
        <v>115</v>
      </c>
      <c r="D58" s="8">
        <v>1.87</v>
      </c>
      <c r="E58" s="12">
        <v>102</v>
      </c>
      <c r="F58" s="8">
        <v>3.6</v>
      </c>
      <c r="G58" s="12">
        <v>13</v>
      </c>
      <c r="H58" s="8">
        <v>0.39</v>
      </c>
      <c r="I58" s="12">
        <v>0</v>
      </c>
    </row>
    <row r="59" spans="2:9" ht="15" customHeight="1" x14ac:dyDescent="0.2">
      <c r="B59" t="s">
        <v>175</v>
      </c>
      <c r="C59" s="12">
        <v>87</v>
      </c>
      <c r="D59" s="8">
        <v>1.41</v>
      </c>
      <c r="E59" s="12">
        <v>61</v>
      </c>
      <c r="F59" s="8">
        <v>2.15</v>
      </c>
      <c r="G59" s="12">
        <v>26</v>
      </c>
      <c r="H59" s="8">
        <v>0.79</v>
      </c>
      <c r="I59" s="12">
        <v>0</v>
      </c>
    </row>
    <row r="60" spans="2:9" ht="15" customHeight="1" x14ac:dyDescent="0.2">
      <c r="B60" t="s">
        <v>155</v>
      </c>
      <c r="C60" s="12">
        <v>83</v>
      </c>
      <c r="D60" s="8">
        <v>1.35</v>
      </c>
      <c r="E60" s="12">
        <v>2</v>
      </c>
      <c r="F60" s="8">
        <v>7.0000000000000007E-2</v>
      </c>
      <c r="G60" s="12">
        <v>81</v>
      </c>
      <c r="H60" s="8">
        <v>2.46</v>
      </c>
      <c r="I60" s="12">
        <v>0</v>
      </c>
    </row>
    <row r="61" spans="2:9" ht="15" customHeight="1" x14ac:dyDescent="0.2">
      <c r="B61" t="s">
        <v>171</v>
      </c>
      <c r="C61" s="12">
        <v>82</v>
      </c>
      <c r="D61" s="8">
        <v>1.33</v>
      </c>
      <c r="E61" s="12">
        <v>58</v>
      </c>
      <c r="F61" s="8">
        <v>2.0499999999999998</v>
      </c>
      <c r="G61" s="12">
        <v>24</v>
      </c>
      <c r="H61" s="8">
        <v>0.73</v>
      </c>
      <c r="I61" s="12">
        <v>0</v>
      </c>
    </row>
    <row r="62" spans="2:9" ht="15" customHeight="1" x14ac:dyDescent="0.2">
      <c r="B62" t="s">
        <v>162</v>
      </c>
      <c r="C62" s="12">
        <v>80</v>
      </c>
      <c r="D62" s="8">
        <v>1.3</v>
      </c>
      <c r="E62" s="12">
        <v>10</v>
      </c>
      <c r="F62" s="8">
        <v>0.35</v>
      </c>
      <c r="G62" s="12">
        <v>70</v>
      </c>
      <c r="H62" s="8">
        <v>2.12</v>
      </c>
      <c r="I62" s="12">
        <v>0</v>
      </c>
    </row>
    <row r="63" spans="2:9" ht="15" customHeight="1" x14ac:dyDescent="0.2">
      <c r="B63" t="s">
        <v>184</v>
      </c>
      <c r="C63" s="12">
        <v>79</v>
      </c>
      <c r="D63" s="8">
        <v>1.28</v>
      </c>
      <c r="E63" s="12">
        <v>4</v>
      </c>
      <c r="F63" s="8">
        <v>0.14000000000000001</v>
      </c>
      <c r="G63" s="12">
        <v>75</v>
      </c>
      <c r="H63" s="8">
        <v>2.2799999999999998</v>
      </c>
      <c r="I63" s="12">
        <v>0</v>
      </c>
    </row>
    <row r="64" spans="2:9" ht="15" customHeight="1" x14ac:dyDescent="0.2">
      <c r="B64" t="s">
        <v>179</v>
      </c>
      <c r="C64" s="12">
        <v>76</v>
      </c>
      <c r="D64" s="8">
        <v>1.23</v>
      </c>
      <c r="E64" s="12">
        <v>65</v>
      </c>
      <c r="F64" s="8">
        <v>2.2999999999999998</v>
      </c>
      <c r="G64" s="12">
        <v>11</v>
      </c>
      <c r="H64" s="8">
        <v>0.33</v>
      </c>
      <c r="I64" s="12">
        <v>0</v>
      </c>
    </row>
    <row r="65" spans="2:9" ht="15" customHeight="1" x14ac:dyDescent="0.2">
      <c r="B65" t="s">
        <v>183</v>
      </c>
      <c r="C65" s="12">
        <v>76</v>
      </c>
      <c r="D65" s="8">
        <v>1.23</v>
      </c>
      <c r="E65" s="12">
        <v>70</v>
      </c>
      <c r="F65" s="8">
        <v>2.4700000000000002</v>
      </c>
      <c r="G65" s="12">
        <v>6</v>
      </c>
      <c r="H65" s="8">
        <v>0.18</v>
      </c>
      <c r="I65" s="12">
        <v>0</v>
      </c>
    </row>
    <row r="66" spans="2:9" ht="15" customHeight="1" x14ac:dyDescent="0.2">
      <c r="B66" t="s">
        <v>185</v>
      </c>
      <c r="C66" s="12">
        <v>73</v>
      </c>
      <c r="D66" s="8">
        <v>1.18</v>
      </c>
      <c r="E66" s="12">
        <v>6</v>
      </c>
      <c r="F66" s="8">
        <v>0.21</v>
      </c>
      <c r="G66" s="12">
        <v>67</v>
      </c>
      <c r="H66" s="8">
        <v>2.0299999999999998</v>
      </c>
      <c r="I66" s="12">
        <v>0</v>
      </c>
    </row>
    <row r="67" spans="2:9" ht="15" customHeight="1" x14ac:dyDescent="0.2">
      <c r="B67" t="s">
        <v>165</v>
      </c>
      <c r="C67" s="12">
        <v>73</v>
      </c>
      <c r="D67" s="8">
        <v>1.18</v>
      </c>
      <c r="E67" s="12">
        <v>18</v>
      </c>
      <c r="F67" s="8">
        <v>0.64</v>
      </c>
      <c r="G67" s="12">
        <v>55</v>
      </c>
      <c r="H67" s="8">
        <v>1.67</v>
      </c>
      <c r="I67" s="12">
        <v>0</v>
      </c>
    </row>
    <row r="69" spans="2:9" ht="15" customHeight="1" x14ac:dyDescent="0.2">
      <c r="B69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D2EA4-06EC-4C84-8611-73CE8CC777C0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294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2</v>
      </c>
      <c r="D5" s="8">
        <v>0.06</v>
      </c>
      <c r="E5" s="12">
        <v>0</v>
      </c>
      <c r="F5" s="8">
        <v>0</v>
      </c>
      <c r="G5" s="12">
        <v>2</v>
      </c>
      <c r="H5" s="8">
        <v>0.1</v>
      </c>
      <c r="I5" s="12">
        <v>0</v>
      </c>
    </row>
    <row r="6" spans="2:9" ht="15" customHeight="1" x14ac:dyDescent="0.2">
      <c r="B6" t="s">
        <v>76</v>
      </c>
      <c r="C6" s="12">
        <v>739</v>
      </c>
      <c r="D6" s="8">
        <v>20.45</v>
      </c>
      <c r="E6" s="12">
        <v>148</v>
      </c>
      <c r="F6" s="8">
        <v>9.23</v>
      </c>
      <c r="G6" s="12">
        <v>591</v>
      </c>
      <c r="H6" s="8">
        <v>29.89</v>
      </c>
      <c r="I6" s="12">
        <v>0</v>
      </c>
    </row>
    <row r="7" spans="2:9" ht="15" customHeight="1" x14ac:dyDescent="0.2">
      <c r="B7" t="s">
        <v>77</v>
      </c>
      <c r="C7" s="12">
        <v>148</v>
      </c>
      <c r="D7" s="8">
        <v>4.0999999999999996</v>
      </c>
      <c r="E7" s="12">
        <v>37</v>
      </c>
      <c r="F7" s="8">
        <v>2.31</v>
      </c>
      <c r="G7" s="12">
        <v>111</v>
      </c>
      <c r="H7" s="8">
        <v>5.61</v>
      </c>
      <c r="I7" s="12">
        <v>0</v>
      </c>
    </row>
    <row r="8" spans="2:9" ht="15" customHeight="1" x14ac:dyDescent="0.2">
      <c r="B8" t="s">
        <v>78</v>
      </c>
      <c r="C8" s="12">
        <v>4</v>
      </c>
      <c r="D8" s="8">
        <v>0.11</v>
      </c>
      <c r="E8" s="12">
        <v>0</v>
      </c>
      <c r="F8" s="8">
        <v>0</v>
      </c>
      <c r="G8" s="12">
        <v>4</v>
      </c>
      <c r="H8" s="8">
        <v>0.2</v>
      </c>
      <c r="I8" s="12">
        <v>0</v>
      </c>
    </row>
    <row r="9" spans="2:9" ht="15" customHeight="1" x14ac:dyDescent="0.2">
      <c r="B9" t="s">
        <v>79</v>
      </c>
      <c r="C9" s="12">
        <v>21</v>
      </c>
      <c r="D9" s="8">
        <v>0.57999999999999996</v>
      </c>
      <c r="E9" s="12">
        <v>5</v>
      </c>
      <c r="F9" s="8">
        <v>0.31</v>
      </c>
      <c r="G9" s="12">
        <v>16</v>
      </c>
      <c r="H9" s="8">
        <v>0.81</v>
      </c>
      <c r="I9" s="12">
        <v>0</v>
      </c>
    </row>
    <row r="10" spans="2:9" ht="15" customHeight="1" x14ac:dyDescent="0.2">
      <c r="B10" t="s">
        <v>80</v>
      </c>
      <c r="C10" s="12">
        <v>56</v>
      </c>
      <c r="D10" s="8">
        <v>1.55</v>
      </c>
      <c r="E10" s="12">
        <v>31</v>
      </c>
      <c r="F10" s="8">
        <v>1.93</v>
      </c>
      <c r="G10" s="12">
        <v>25</v>
      </c>
      <c r="H10" s="8">
        <v>1.26</v>
      </c>
      <c r="I10" s="12">
        <v>0</v>
      </c>
    </row>
    <row r="11" spans="2:9" ht="15" customHeight="1" x14ac:dyDescent="0.2">
      <c r="B11" t="s">
        <v>81</v>
      </c>
      <c r="C11" s="12">
        <v>831</v>
      </c>
      <c r="D11" s="8">
        <v>22.99</v>
      </c>
      <c r="E11" s="12">
        <v>323</v>
      </c>
      <c r="F11" s="8">
        <v>20.149999999999999</v>
      </c>
      <c r="G11" s="12">
        <v>507</v>
      </c>
      <c r="H11" s="8">
        <v>25.64</v>
      </c>
      <c r="I11" s="12">
        <v>1</v>
      </c>
    </row>
    <row r="12" spans="2:9" ht="15" customHeight="1" x14ac:dyDescent="0.2">
      <c r="B12" t="s">
        <v>82</v>
      </c>
      <c r="C12" s="12">
        <v>28</v>
      </c>
      <c r="D12" s="8">
        <v>0.77</v>
      </c>
      <c r="E12" s="12">
        <v>4</v>
      </c>
      <c r="F12" s="8">
        <v>0.25</v>
      </c>
      <c r="G12" s="12">
        <v>24</v>
      </c>
      <c r="H12" s="8">
        <v>1.21</v>
      </c>
      <c r="I12" s="12">
        <v>0</v>
      </c>
    </row>
    <row r="13" spans="2:9" ht="15" customHeight="1" x14ac:dyDescent="0.2">
      <c r="B13" t="s">
        <v>83</v>
      </c>
      <c r="C13" s="12">
        <v>406</v>
      </c>
      <c r="D13" s="8">
        <v>11.23</v>
      </c>
      <c r="E13" s="12">
        <v>178</v>
      </c>
      <c r="F13" s="8">
        <v>11.1</v>
      </c>
      <c r="G13" s="12">
        <v>228</v>
      </c>
      <c r="H13" s="8">
        <v>11.53</v>
      </c>
      <c r="I13" s="12">
        <v>0</v>
      </c>
    </row>
    <row r="14" spans="2:9" ht="15" customHeight="1" x14ac:dyDescent="0.2">
      <c r="B14" t="s">
        <v>84</v>
      </c>
      <c r="C14" s="12">
        <v>156</v>
      </c>
      <c r="D14" s="8">
        <v>4.32</v>
      </c>
      <c r="E14" s="12">
        <v>80</v>
      </c>
      <c r="F14" s="8">
        <v>4.99</v>
      </c>
      <c r="G14" s="12">
        <v>76</v>
      </c>
      <c r="H14" s="8">
        <v>3.84</v>
      </c>
      <c r="I14" s="12">
        <v>0</v>
      </c>
    </row>
    <row r="15" spans="2:9" ht="15" customHeight="1" x14ac:dyDescent="0.2">
      <c r="B15" t="s">
        <v>85</v>
      </c>
      <c r="C15" s="12">
        <v>251</v>
      </c>
      <c r="D15" s="8">
        <v>6.95</v>
      </c>
      <c r="E15" s="12">
        <v>190</v>
      </c>
      <c r="F15" s="8">
        <v>11.85</v>
      </c>
      <c r="G15" s="12">
        <v>61</v>
      </c>
      <c r="H15" s="8">
        <v>3.09</v>
      </c>
      <c r="I15" s="12">
        <v>0</v>
      </c>
    </row>
    <row r="16" spans="2:9" ht="15" customHeight="1" x14ac:dyDescent="0.2">
      <c r="B16" t="s">
        <v>86</v>
      </c>
      <c r="C16" s="12">
        <v>451</v>
      </c>
      <c r="D16" s="8">
        <v>12.48</v>
      </c>
      <c r="E16" s="12">
        <v>329</v>
      </c>
      <c r="F16" s="8">
        <v>20.52</v>
      </c>
      <c r="G16" s="12">
        <v>122</v>
      </c>
      <c r="H16" s="8">
        <v>6.17</v>
      </c>
      <c r="I16" s="12">
        <v>0</v>
      </c>
    </row>
    <row r="17" spans="2:9" ht="15" customHeight="1" x14ac:dyDescent="0.2">
      <c r="B17" t="s">
        <v>87</v>
      </c>
      <c r="C17" s="12">
        <v>139</v>
      </c>
      <c r="D17" s="8">
        <v>3.85</v>
      </c>
      <c r="E17" s="12">
        <v>95</v>
      </c>
      <c r="F17" s="8">
        <v>5.93</v>
      </c>
      <c r="G17" s="12">
        <v>41</v>
      </c>
      <c r="H17" s="8">
        <v>2.0699999999999998</v>
      </c>
      <c r="I17" s="12">
        <v>3</v>
      </c>
    </row>
    <row r="18" spans="2:9" ht="15" customHeight="1" x14ac:dyDescent="0.2">
      <c r="B18" t="s">
        <v>88</v>
      </c>
      <c r="C18" s="12">
        <v>221</v>
      </c>
      <c r="D18" s="8">
        <v>6.12</v>
      </c>
      <c r="E18" s="12">
        <v>130</v>
      </c>
      <c r="F18" s="8">
        <v>8.11</v>
      </c>
      <c r="G18" s="12">
        <v>88</v>
      </c>
      <c r="H18" s="8">
        <v>4.45</v>
      </c>
      <c r="I18" s="12">
        <v>1</v>
      </c>
    </row>
    <row r="19" spans="2:9" ht="15" customHeight="1" x14ac:dyDescent="0.2">
      <c r="B19" t="s">
        <v>89</v>
      </c>
      <c r="C19" s="12">
        <v>161</v>
      </c>
      <c r="D19" s="8">
        <v>4.45</v>
      </c>
      <c r="E19" s="12">
        <v>53</v>
      </c>
      <c r="F19" s="8">
        <v>3.31</v>
      </c>
      <c r="G19" s="12">
        <v>81</v>
      </c>
      <c r="H19" s="8">
        <v>4.0999999999999996</v>
      </c>
      <c r="I19" s="12">
        <v>1</v>
      </c>
    </row>
    <row r="20" spans="2:9" ht="15" customHeight="1" x14ac:dyDescent="0.2">
      <c r="B20" s="9" t="s">
        <v>285</v>
      </c>
      <c r="C20" s="12">
        <f>SUM(LTBL_40107[総数／事業所数])</f>
        <v>3614</v>
      </c>
      <c r="E20" s="12">
        <f>SUBTOTAL(109,LTBL_40107[個人／事業所数])</f>
        <v>1603</v>
      </c>
      <c r="G20" s="12">
        <f>SUBTOTAL(109,LTBL_40107[法人／事業所数])</f>
        <v>1977</v>
      </c>
      <c r="I20" s="12">
        <f>SUBTOTAL(109,LTBL_40107[法人以外の団体／事業所数])</f>
        <v>6</v>
      </c>
    </row>
    <row r="21" spans="2:9" ht="15" customHeight="1" x14ac:dyDescent="0.2">
      <c r="E21" s="11">
        <f>LTBL_40107[[#Totals],[個人／事業所数]]/LTBL_40107[[#Totals],[総数／事業所数]]</f>
        <v>0.4435528500276702</v>
      </c>
      <c r="G21" s="11">
        <f>LTBL_40107[[#Totals],[法人／事業所数]]/LTBL_40107[[#Totals],[総数／事業所数]]</f>
        <v>0.54703929164360821</v>
      </c>
      <c r="I21" s="11">
        <f>LTBL_40107[[#Totals],[法人以外の団体／事業所数]]/LTBL_40107[[#Totals],[総数／事業所数]]</f>
        <v>1.6602102933038186E-3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365</v>
      </c>
      <c r="D24" s="8">
        <v>10.1</v>
      </c>
      <c r="E24" s="12">
        <v>288</v>
      </c>
      <c r="F24" s="8">
        <v>17.97</v>
      </c>
      <c r="G24" s="12">
        <v>77</v>
      </c>
      <c r="H24" s="8">
        <v>3.89</v>
      </c>
      <c r="I24" s="12">
        <v>0</v>
      </c>
    </row>
    <row r="25" spans="2:9" ht="15" customHeight="1" x14ac:dyDescent="0.2">
      <c r="B25" t="s">
        <v>109</v>
      </c>
      <c r="C25" s="12">
        <v>316</v>
      </c>
      <c r="D25" s="8">
        <v>8.74</v>
      </c>
      <c r="E25" s="12">
        <v>161</v>
      </c>
      <c r="F25" s="8">
        <v>10.039999999999999</v>
      </c>
      <c r="G25" s="12">
        <v>155</v>
      </c>
      <c r="H25" s="8">
        <v>7.84</v>
      </c>
      <c r="I25" s="12">
        <v>0</v>
      </c>
    </row>
    <row r="26" spans="2:9" ht="15" customHeight="1" x14ac:dyDescent="0.2">
      <c r="B26" t="s">
        <v>98</v>
      </c>
      <c r="C26" s="12">
        <v>304</v>
      </c>
      <c r="D26" s="8">
        <v>8.41</v>
      </c>
      <c r="E26" s="12">
        <v>58</v>
      </c>
      <c r="F26" s="8">
        <v>3.62</v>
      </c>
      <c r="G26" s="12">
        <v>246</v>
      </c>
      <c r="H26" s="8">
        <v>12.44</v>
      </c>
      <c r="I26" s="12">
        <v>0</v>
      </c>
    </row>
    <row r="27" spans="2:9" ht="15" customHeight="1" x14ac:dyDescent="0.2">
      <c r="B27" t="s">
        <v>100</v>
      </c>
      <c r="C27" s="12">
        <v>226</v>
      </c>
      <c r="D27" s="8">
        <v>6.25</v>
      </c>
      <c r="E27" s="12">
        <v>38</v>
      </c>
      <c r="F27" s="8">
        <v>2.37</v>
      </c>
      <c r="G27" s="12">
        <v>188</v>
      </c>
      <c r="H27" s="8">
        <v>9.51</v>
      </c>
      <c r="I27" s="12">
        <v>0</v>
      </c>
    </row>
    <row r="28" spans="2:9" ht="15" customHeight="1" x14ac:dyDescent="0.2">
      <c r="B28" t="s">
        <v>112</v>
      </c>
      <c r="C28" s="12">
        <v>210</v>
      </c>
      <c r="D28" s="8">
        <v>5.81</v>
      </c>
      <c r="E28" s="12">
        <v>176</v>
      </c>
      <c r="F28" s="8">
        <v>10.98</v>
      </c>
      <c r="G28" s="12">
        <v>34</v>
      </c>
      <c r="H28" s="8">
        <v>1.72</v>
      </c>
      <c r="I28" s="12">
        <v>0</v>
      </c>
    </row>
    <row r="29" spans="2:9" ht="15" customHeight="1" x14ac:dyDescent="0.2">
      <c r="B29" t="s">
        <v>99</v>
      </c>
      <c r="C29" s="12">
        <v>209</v>
      </c>
      <c r="D29" s="8">
        <v>5.78</v>
      </c>
      <c r="E29" s="12">
        <v>52</v>
      </c>
      <c r="F29" s="8">
        <v>3.24</v>
      </c>
      <c r="G29" s="12">
        <v>157</v>
      </c>
      <c r="H29" s="8">
        <v>7.94</v>
      </c>
      <c r="I29" s="12">
        <v>0</v>
      </c>
    </row>
    <row r="30" spans="2:9" ht="15" customHeight="1" x14ac:dyDescent="0.2">
      <c r="B30" t="s">
        <v>107</v>
      </c>
      <c r="C30" s="12">
        <v>207</v>
      </c>
      <c r="D30" s="8">
        <v>5.73</v>
      </c>
      <c r="E30" s="12">
        <v>84</v>
      </c>
      <c r="F30" s="8">
        <v>5.24</v>
      </c>
      <c r="G30" s="12">
        <v>122</v>
      </c>
      <c r="H30" s="8">
        <v>6.17</v>
      </c>
      <c r="I30" s="12">
        <v>1</v>
      </c>
    </row>
    <row r="31" spans="2:9" ht="15" customHeight="1" x14ac:dyDescent="0.2">
      <c r="B31" t="s">
        <v>105</v>
      </c>
      <c r="C31" s="12">
        <v>171</v>
      </c>
      <c r="D31" s="8">
        <v>4.7300000000000004</v>
      </c>
      <c r="E31" s="12">
        <v>118</v>
      </c>
      <c r="F31" s="8">
        <v>7.36</v>
      </c>
      <c r="G31" s="12">
        <v>53</v>
      </c>
      <c r="H31" s="8">
        <v>2.68</v>
      </c>
      <c r="I31" s="12">
        <v>0</v>
      </c>
    </row>
    <row r="32" spans="2:9" ht="15" customHeight="1" x14ac:dyDescent="0.2">
      <c r="B32" t="s">
        <v>115</v>
      </c>
      <c r="C32" s="12">
        <v>149</v>
      </c>
      <c r="D32" s="8">
        <v>4.12</v>
      </c>
      <c r="E32" s="12">
        <v>127</v>
      </c>
      <c r="F32" s="8">
        <v>7.92</v>
      </c>
      <c r="G32" s="12">
        <v>22</v>
      </c>
      <c r="H32" s="8">
        <v>1.1100000000000001</v>
      </c>
      <c r="I32" s="12">
        <v>0</v>
      </c>
    </row>
    <row r="33" spans="2:9" ht="15" customHeight="1" x14ac:dyDescent="0.2">
      <c r="B33" t="s">
        <v>114</v>
      </c>
      <c r="C33" s="12">
        <v>139</v>
      </c>
      <c r="D33" s="8">
        <v>3.85</v>
      </c>
      <c r="E33" s="12">
        <v>95</v>
      </c>
      <c r="F33" s="8">
        <v>5.93</v>
      </c>
      <c r="G33" s="12">
        <v>41</v>
      </c>
      <c r="H33" s="8">
        <v>2.0699999999999998</v>
      </c>
      <c r="I33" s="12">
        <v>3</v>
      </c>
    </row>
    <row r="34" spans="2:9" ht="15" customHeight="1" x14ac:dyDescent="0.2">
      <c r="B34" t="s">
        <v>106</v>
      </c>
      <c r="C34" s="12">
        <v>123</v>
      </c>
      <c r="D34" s="8">
        <v>3.4</v>
      </c>
      <c r="E34" s="12">
        <v>63</v>
      </c>
      <c r="F34" s="8">
        <v>3.93</v>
      </c>
      <c r="G34" s="12">
        <v>60</v>
      </c>
      <c r="H34" s="8">
        <v>3.03</v>
      </c>
      <c r="I34" s="12">
        <v>0</v>
      </c>
    </row>
    <row r="35" spans="2:9" ht="15" customHeight="1" x14ac:dyDescent="0.2">
      <c r="B35" t="s">
        <v>102</v>
      </c>
      <c r="C35" s="12">
        <v>93</v>
      </c>
      <c r="D35" s="8">
        <v>2.57</v>
      </c>
      <c r="E35" s="12">
        <v>7</v>
      </c>
      <c r="F35" s="8">
        <v>0.44</v>
      </c>
      <c r="G35" s="12">
        <v>86</v>
      </c>
      <c r="H35" s="8">
        <v>4.3499999999999996</v>
      </c>
      <c r="I35" s="12">
        <v>0</v>
      </c>
    </row>
    <row r="36" spans="2:9" ht="15" customHeight="1" x14ac:dyDescent="0.2">
      <c r="B36" t="s">
        <v>110</v>
      </c>
      <c r="C36" s="12">
        <v>87</v>
      </c>
      <c r="D36" s="8">
        <v>2.41</v>
      </c>
      <c r="E36" s="12">
        <v>50</v>
      </c>
      <c r="F36" s="8">
        <v>3.12</v>
      </c>
      <c r="G36" s="12">
        <v>37</v>
      </c>
      <c r="H36" s="8">
        <v>1.87</v>
      </c>
      <c r="I36" s="12">
        <v>0</v>
      </c>
    </row>
    <row r="37" spans="2:9" ht="15" customHeight="1" x14ac:dyDescent="0.2">
      <c r="B37" t="s">
        <v>116</v>
      </c>
      <c r="C37" s="12">
        <v>72</v>
      </c>
      <c r="D37" s="8">
        <v>1.99</v>
      </c>
      <c r="E37" s="12">
        <v>3</v>
      </c>
      <c r="F37" s="8">
        <v>0.19</v>
      </c>
      <c r="G37" s="12">
        <v>66</v>
      </c>
      <c r="H37" s="8">
        <v>3.34</v>
      </c>
      <c r="I37" s="12">
        <v>1</v>
      </c>
    </row>
    <row r="38" spans="2:9" ht="15" customHeight="1" x14ac:dyDescent="0.2">
      <c r="B38" t="s">
        <v>108</v>
      </c>
      <c r="C38" s="12">
        <v>70</v>
      </c>
      <c r="D38" s="8">
        <v>1.94</v>
      </c>
      <c r="E38" s="12">
        <v>11</v>
      </c>
      <c r="F38" s="8">
        <v>0.69</v>
      </c>
      <c r="G38" s="12">
        <v>59</v>
      </c>
      <c r="H38" s="8">
        <v>2.98</v>
      </c>
      <c r="I38" s="12">
        <v>0</v>
      </c>
    </row>
    <row r="39" spans="2:9" ht="15" customHeight="1" x14ac:dyDescent="0.2">
      <c r="B39" t="s">
        <v>111</v>
      </c>
      <c r="C39" s="12">
        <v>67</v>
      </c>
      <c r="D39" s="8">
        <v>1.85</v>
      </c>
      <c r="E39" s="12">
        <v>30</v>
      </c>
      <c r="F39" s="8">
        <v>1.87</v>
      </c>
      <c r="G39" s="12">
        <v>37</v>
      </c>
      <c r="H39" s="8">
        <v>1.87</v>
      </c>
      <c r="I39" s="12">
        <v>0</v>
      </c>
    </row>
    <row r="40" spans="2:9" ht="15" customHeight="1" x14ac:dyDescent="0.2">
      <c r="B40" t="s">
        <v>104</v>
      </c>
      <c r="C40" s="12">
        <v>62</v>
      </c>
      <c r="D40" s="8">
        <v>1.72</v>
      </c>
      <c r="E40" s="12">
        <v>25</v>
      </c>
      <c r="F40" s="8">
        <v>1.56</v>
      </c>
      <c r="G40" s="12">
        <v>37</v>
      </c>
      <c r="H40" s="8">
        <v>1.87</v>
      </c>
      <c r="I40" s="12">
        <v>0</v>
      </c>
    </row>
    <row r="41" spans="2:9" ht="15" customHeight="1" x14ac:dyDescent="0.2">
      <c r="B41" t="s">
        <v>123</v>
      </c>
      <c r="C41" s="12">
        <v>59</v>
      </c>
      <c r="D41" s="8">
        <v>1.63</v>
      </c>
      <c r="E41" s="12">
        <v>41</v>
      </c>
      <c r="F41" s="8">
        <v>2.56</v>
      </c>
      <c r="G41" s="12">
        <v>18</v>
      </c>
      <c r="H41" s="8">
        <v>0.91</v>
      </c>
      <c r="I41" s="12">
        <v>0</v>
      </c>
    </row>
    <row r="42" spans="2:9" ht="15" customHeight="1" x14ac:dyDescent="0.2">
      <c r="B42" t="s">
        <v>118</v>
      </c>
      <c r="C42" s="12">
        <v>58</v>
      </c>
      <c r="D42" s="8">
        <v>1.6</v>
      </c>
      <c r="E42" s="12">
        <v>27</v>
      </c>
      <c r="F42" s="8">
        <v>1.68</v>
      </c>
      <c r="G42" s="12">
        <v>31</v>
      </c>
      <c r="H42" s="8">
        <v>1.57</v>
      </c>
      <c r="I42" s="12">
        <v>0</v>
      </c>
    </row>
    <row r="43" spans="2:9" ht="15" customHeight="1" x14ac:dyDescent="0.2">
      <c r="B43" t="s">
        <v>101</v>
      </c>
      <c r="C43" s="12">
        <v>56</v>
      </c>
      <c r="D43" s="8">
        <v>1.55</v>
      </c>
      <c r="E43" s="12">
        <v>7</v>
      </c>
      <c r="F43" s="8">
        <v>0.44</v>
      </c>
      <c r="G43" s="12">
        <v>49</v>
      </c>
      <c r="H43" s="8">
        <v>2.48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164</v>
      </c>
      <c r="C47" s="12">
        <v>209</v>
      </c>
      <c r="D47" s="8">
        <v>5.78</v>
      </c>
      <c r="E47" s="12">
        <v>132</v>
      </c>
      <c r="F47" s="8">
        <v>8.23</v>
      </c>
      <c r="G47" s="12">
        <v>77</v>
      </c>
      <c r="H47" s="8">
        <v>3.89</v>
      </c>
      <c r="I47" s="12">
        <v>0</v>
      </c>
    </row>
    <row r="48" spans="2:9" ht="15" customHeight="1" x14ac:dyDescent="0.2">
      <c r="B48" t="s">
        <v>170</v>
      </c>
      <c r="C48" s="12">
        <v>200</v>
      </c>
      <c r="D48" s="8">
        <v>5.53</v>
      </c>
      <c r="E48" s="12">
        <v>170</v>
      </c>
      <c r="F48" s="8">
        <v>10.61</v>
      </c>
      <c r="G48" s="12">
        <v>30</v>
      </c>
      <c r="H48" s="8">
        <v>1.52</v>
      </c>
      <c r="I48" s="12">
        <v>0</v>
      </c>
    </row>
    <row r="49" spans="2:9" ht="15" customHeight="1" x14ac:dyDescent="0.2">
      <c r="B49" t="s">
        <v>154</v>
      </c>
      <c r="C49" s="12">
        <v>106</v>
      </c>
      <c r="D49" s="8">
        <v>2.93</v>
      </c>
      <c r="E49" s="12">
        <v>15</v>
      </c>
      <c r="F49" s="8">
        <v>0.94</v>
      </c>
      <c r="G49" s="12">
        <v>91</v>
      </c>
      <c r="H49" s="8">
        <v>4.5999999999999996</v>
      </c>
      <c r="I49" s="12">
        <v>0</v>
      </c>
    </row>
    <row r="50" spans="2:9" ht="15" customHeight="1" x14ac:dyDescent="0.2">
      <c r="B50" t="s">
        <v>169</v>
      </c>
      <c r="C50" s="12">
        <v>102</v>
      </c>
      <c r="D50" s="8">
        <v>2.82</v>
      </c>
      <c r="E50" s="12">
        <v>98</v>
      </c>
      <c r="F50" s="8">
        <v>6.11</v>
      </c>
      <c r="G50" s="12">
        <v>4</v>
      </c>
      <c r="H50" s="8">
        <v>0.2</v>
      </c>
      <c r="I50" s="12">
        <v>0</v>
      </c>
    </row>
    <row r="51" spans="2:9" ht="15" customHeight="1" x14ac:dyDescent="0.2">
      <c r="B51" t="s">
        <v>172</v>
      </c>
      <c r="C51" s="12">
        <v>98</v>
      </c>
      <c r="D51" s="8">
        <v>2.71</v>
      </c>
      <c r="E51" s="12">
        <v>84</v>
      </c>
      <c r="F51" s="8">
        <v>5.24</v>
      </c>
      <c r="G51" s="12">
        <v>14</v>
      </c>
      <c r="H51" s="8">
        <v>0.71</v>
      </c>
      <c r="I51" s="12">
        <v>0</v>
      </c>
    </row>
    <row r="52" spans="2:9" ht="15" customHeight="1" x14ac:dyDescent="0.2">
      <c r="B52" t="s">
        <v>159</v>
      </c>
      <c r="C52" s="12">
        <v>87</v>
      </c>
      <c r="D52" s="8">
        <v>2.41</v>
      </c>
      <c r="E52" s="12">
        <v>45</v>
      </c>
      <c r="F52" s="8">
        <v>2.81</v>
      </c>
      <c r="G52" s="12">
        <v>42</v>
      </c>
      <c r="H52" s="8">
        <v>2.12</v>
      </c>
      <c r="I52" s="12">
        <v>0</v>
      </c>
    </row>
    <row r="53" spans="2:9" ht="15" customHeight="1" x14ac:dyDescent="0.2">
      <c r="B53" t="s">
        <v>155</v>
      </c>
      <c r="C53" s="12">
        <v>85</v>
      </c>
      <c r="D53" s="8">
        <v>2.35</v>
      </c>
      <c r="E53" s="12">
        <v>12</v>
      </c>
      <c r="F53" s="8">
        <v>0.75</v>
      </c>
      <c r="G53" s="12">
        <v>73</v>
      </c>
      <c r="H53" s="8">
        <v>3.69</v>
      </c>
      <c r="I53" s="12">
        <v>0</v>
      </c>
    </row>
    <row r="54" spans="2:9" ht="15" customHeight="1" x14ac:dyDescent="0.2">
      <c r="B54" t="s">
        <v>174</v>
      </c>
      <c r="C54" s="12">
        <v>84</v>
      </c>
      <c r="D54" s="8">
        <v>2.3199999999999998</v>
      </c>
      <c r="E54" s="12">
        <v>20</v>
      </c>
      <c r="F54" s="8">
        <v>1.25</v>
      </c>
      <c r="G54" s="12">
        <v>64</v>
      </c>
      <c r="H54" s="8">
        <v>3.24</v>
      </c>
      <c r="I54" s="12">
        <v>0</v>
      </c>
    </row>
    <row r="55" spans="2:9" ht="15" customHeight="1" x14ac:dyDescent="0.2">
      <c r="B55" t="s">
        <v>160</v>
      </c>
      <c r="C55" s="12">
        <v>84</v>
      </c>
      <c r="D55" s="8">
        <v>2.3199999999999998</v>
      </c>
      <c r="E55" s="12">
        <v>22</v>
      </c>
      <c r="F55" s="8">
        <v>1.37</v>
      </c>
      <c r="G55" s="12">
        <v>62</v>
      </c>
      <c r="H55" s="8">
        <v>3.14</v>
      </c>
      <c r="I55" s="12">
        <v>0</v>
      </c>
    </row>
    <row r="56" spans="2:9" ht="15" customHeight="1" x14ac:dyDescent="0.2">
      <c r="B56" t="s">
        <v>171</v>
      </c>
      <c r="C56" s="12">
        <v>81</v>
      </c>
      <c r="D56" s="8">
        <v>2.2400000000000002</v>
      </c>
      <c r="E56" s="12">
        <v>66</v>
      </c>
      <c r="F56" s="8">
        <v>4.12</v>
      </c>
      <c r="G56" s="12">
        <v>15</v>
      </c>
      <c r="H56" s="8">
        <v>0.76</v>
      </c>
      <c r="I56" s="12">
        <v>0</v>
      </c>
    </row>
    <row r="57" spans="2:9" ht="15" customHeight="1" x14ac:dyDescent="0.2">
      <c r="B57" t="s">
        <v>156</v>
      </c>
      <c r="C57" s="12">
        <v>79</v>
      </c>
      <c r="D57" s="8">
        <v>2.19</v>
      </c>
      <c r="E57" s="12">
        <v>14</v>
      </c>
      <c r="F57" s="8">
        <v>0.87</v>
      </c>
      <c r="G57" s="12">
        <v>65</v>
      </c>
      <c r="H57" s="8">
        <v>3.29</v>
      </c>
      <c r="I57" s="12">
        <v>0</v>
      </c>
    </row>
    <row r="58" spans="2:9" ht="15" customHeight="1" x14ac:dyDescent="0.2">
      <c r="B58" t="s">
        <v>158</v>
      </c>
      <c r="C58" s="12">
        <v>72</v>
      </c>
      <c r="D58" s="8">
        <v>1.99</v>
      </c>
      <c r="E58" s="12">
        <v>46</v>
      </c>
      <c r="F58" s="8">
        <v>2.87</v>
      </c>
      <c r="G58" s="12">
        <v>26</v>
      </c>
      <c r="H58" s="8">
        <v>1.32</v>
      </c>
      <c r="I58" s="12">
        <v>0</v>
      </c>
    </row>
    <row r="59" spans="2:9" ht="15" customHeight="1" x14ac:dyDescent="0.2">
      <c r="B59" t="s">
        <v>173</v>
      </c>
      <c r="C59" s="12">
        <v>59</v>
      </c>
      <c r="D59" s="8">
        <v>1.63</v>
      </c>
      <c r="E59" s="12">
        <v>41</v>
      </c>
      <c r="F59" s="8">
        <v>2.56</v>
      </c>
      <c r="G59" s="12">
        <v>18</v>
      </c>
      <c r="H59" s="8">
        <v>0.91</v>
      </c>
      <c r="I59" s="12">
        <v>0</v>
      </c>
    </row>
    <row r="60" spans="2:9" ht="15" customHeight="1" x14ac:dyDescent="0.2">
      <c r="B60" t="s">
        <v>161</v>
      </c>
      <c r="C60" s="12">
        <v>55</v>
      </c>
      <c r="D60" s="8">
        <v>1.52</v>
      </c>
      <c r="E60" s="12">
        <v>35</v>
      </c>
      <c r="F60" s="8">
        <v>2.1800000000000002</v>
      </c>
      <c r="G60" s="12">
        <v>20</v>
      </c>
      <c r="H60" s="8">
        <v>1.01</v>
      </c>
      <c r="I60" s="12">
        <v>0</v>
      </c>
    </row>
    <row r="61" spans="2:9" ht="15" customHeight="1" x14ac:dyDescent="0.2">
      <c r="B61" t="s">
        <v>163</v>
      </c>
      <c r="C61" s="12">
        <v>55</v>
      </c>
      <c r="D61" s="8">
        <v>1.52</v>
      </c>
      <c r="E61" s="12">
        <v>6</v>
      </c>
      <c r="F61" s="8">
        <v>0.37</v>
      </c>
      <c r="G61" s="12">
        <v>49</v>
      </c>
      <c r="H61" s="8">
        <v>2.48</v>
      </c>
      <c r="I61" s="12">
        <v>0</v>
      </c>
    </row>
    <row r="62" spans="2:9" ht="15" customHeight="1" x14ac:dyDescent="0.2">
      <c r="B62" t="s">
        <v>162</v>
      </c>
      <c r="C62" s="12">
        <v>52</v>
      </c>
      <c r="D62" s="8">
        <v>1.44</v>
      </c>
      <c r="E62" s="12">
        <v>11</v>
      </c>
      <c r="F62" s="8">
        <v>0.69</v>
      </c>
      <c r="G62" s="12">
        <v>41</v>
      </c>
      <c r="H62" s="8">
        <v>2.0699999999999998</v>
      </c>
      <c r="I62" s="12">
        <v>0</v>
      </c>
    </row>
    <row r="63" spans="2:9" ht="15" customHeight="1" x14ac:dyDescent="0.2">
      <c r="B63" t="s">
        <v>187</v>
      </c>
      <c r="C63" s="12">
        <v>50</v>
      </c>
      <c r="D63" s="8">
        <v>1.38</v>
      </c>
      <c r="E63" s="12">
        <v>14</v>
      </c>
      <c r="F63" s="8">
        <v>0.87</v>
      </c>
      <c r="G63" s="12">
        <v>36</v>
      </c>
      <c r="H63" s="8">
        <v>1.82</v>
      </c>
      <c r="I63" s="12">
        <v>0</v>
      </c>
    </row>
    <row r="64" spans="2:9" ht="15" customHeight="1" x14ac:dyDescent="0.2">
      <c r="B64" t="s">
        <v>184</v>
      </c>
      <c r="C64" s="12">
        <v>49</v>
      </c>
      <c r="D64" s="8">
        <v>1.36</v>
      </c>
      <c r="E64" s="12">
        <v>3</v>
      </c>
      <c r="F64" s="8">
        <v>0.19</v>
      </c>
      <c r="G64" s="12">
        <v>46</v>
      </c>
      <c r="H64" s="8">
        <v>2.33</v>
      </c>
      <c r="I64" s="12">
        <v>0</v>
      </c>
    </row>
    <row r="65" spans="2:9" ht="15" customHeight="1" x14ac:dyDescent="0.2">
      <c r="B65" t="s">
        <v>167</v>
      </c>
      <c r="C65" s="12">
        <v>48</v>
      </c>
      <c r="D65" s="8">
        <v>1.33</v>
      </c>
      <c r="E65" s="12">
        <v>42</v>
      </c>
      <c r="F65" s="8">
        <v>2.62</v>
      </c>
      <c r="G65" s="12">
        <v>6</v>
      </c>
      <c r="H65" s="8">
        <v>0.3</v>
      </c>
      <c r="I65" s="12">
        <v>0</v>
      </c>
    </row>
    <row r="66" spans="2:9" ht="15" customHeight="1" x14ac:dyDescent="0.2">
      <c r="B66" t="s">
        <v>186</v>
      </c>
      <c r="C66" s="12">
        <v>47</v>
      </c>
      <c r="D66" s="8">
        <v>1.3</v>
      </c>
      <c r="E66" s="12">
        <v>15</v>
      </c>
      <c r="F66" s="8">
        <v>0.94</v>
      </c>
      <c r="G66" s="12">
        <v>32</v>
      </c>
      <c r="H66" s="8">
        <v>1.62</v>
      </c>
      <c r="I66" s="12">
        <v>0</v>
      </c>
    </row>
    <row r="68" spans="2:9" ht="15" customHeight="1" x14ac:dyDescent="0.2">
      <c r="B68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72070-AD19-4C75-B289-39AE12F34B33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295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220</v>
      </c>
      <c r="D6" s="8">
        <v>12.98</v>
      </c>
      <c r="E6" s="12">
        <v>45</v>
      </c>
      <c r="F6" s="8">
        <v>4.75</v>
      </c>
      <c r="G6" s="12">
        <v>175</v>
      </c>
      <c r="H6" s="8">
        <v>23.94</v>
      </c>
      <c r="I6" s="12">
        <v>0</v>
      </c>
    </row>
    <row r="7" spans="2:9" ht="15" customHeight="1" x14ac:dyDescent="0.2">
      <c r="B7" t="s">
        <v>77</v>
      </c>
      <c r="C7" s="12">
        <v>81</v>
      </c>
      <c r="D7" s="8">
        <v>4.78</v>
      </c>
      <c r="E7" s="12">
        <v>29</v>
      </c>
      <c r="F7" s="8">
        <v>3.06</v>
      </c>
      <c r="G7" s="12">
        <v>52</v>
      </c>
      <c r="H7" s="8">
        <v>7.11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0.06</v>
      </c>
      <c r="E8" s="12">
        <v>0</v>
      </c>
      <c r="F8" s="8">
        <v>0</v>
      </c>
      <c r="G8" s="12">
        <v>1</v>
      </c>
      <c r="H8" s="8">
        <v>0.14000000000000001</v>
      </c>
      <c r="I8" s="12">
        <v>0</v>
      </c>
    </row>
    <row r="9" spans="2:9" ht="15" customHeight="1" x14ac:dyDescent="0.2">
      <c r="B9" t="s">
        <v>79</v>
      </c>
      <c r="C9" s="12">
        <v>9</v>
      </c>
      <c r="D9" s="8">
        <v>0.53</v>
      </c>
      <c r="E9" s="12">
        <v>0</v>
      </c>
      <c r="F9" s="8">
        <v>0</v>
      </c>
      <c r="G9" s="12">
        <v>9</v>
      </c>
      <c r="H9" s="8">
        <v>1.23</v>
      </c>
      <c r="I9" s="12">
        <v>0</v>
      </c>
    </row>
    <row r="10" spans="2:9" ht="15" customHeight="1" x14ac:dyDescent="0.2">
      <c r="B10" t="s">
        <v>80</v>
      </c>
      <c r="C10" s="12">
        <v>13</v>
      </c>
      <c r="D10" s="8">
        <v>0.77</v>
      </c>
      <c r="E10" s="12">
        <v>4</v>
      </c>
      <c r="F10" s="8">
        <v>0.42</v>
      </c>
      <c r="G10" s="12">
        <v>9</v>
      </c>
      <c r="H10" s="8">
        <v>1.23</v>
      </c>
      <c r="I10" s="12">
        <v>0</v>
      </c>
    </row>
    <row r="11" spans="2:9" ht="15" customHeight="1" x14ac:dyDescent="0.2">
      <c r="B11" t="s">
        <v>81</v>
      </c>
      <c r="C11" s="12">
        <v>422</v>
      </c>
      <c r="D11" s="8">
        <v>24.9</v>
      </c>
      <c r="E11" s="12">
        <v>231</v>
      </c>
      <c r="F11" s="8">
        <v>24.39</v>
      </c>
      <c r="G11" s="12">
        <v>191</v>
      </c>
      <c r="H11" s="8">
        <v>26.13</v>
      </c>
      <c r="I11" s="12">
        <v>0</v>
      </c>
    </row>
    <row r="12" spans="2:9" ht="15" customHeight="1" x14ac:dyDescent="0.2">
      <c r="B12" t="s">
        <v>82</v>
      </c>
      <c r="C12" s="12">
        <v>14</v>
      </c>
      <c r="D12" s="8">
        <v>0.83</v>
      </c>
      <c r="E12" s="12">
        <v>2</v>
      </c>
      <c r="F12" s="8">
        <v>0.21</v>
      </c>
      <c r="G12" s="12">
        <v>12</v>
      </c>
      <c r="H12" s="8">
        <v>1.64</v>
      </c>
      <c r="I12" s="12">
        <v>0</v>
      </c>
    </row>
    <row r="13" spans="2:9" ht="15" customHeight="1" x14ac:dyDescent="0.2">
      <c r="B13" t="s">
        <v>83</v>
      </c>
      <c r="C13" s="12">
        <v>231</v>
      </c>
      <c r="D13" s="8">
        <v>13.63</v>
      </c>
      <c r="E13" s="12">
        <v>132</v>
      </c>
      <c r="F13" s="8">
        <v>13.94</v>
      </c>
      <c r="G13" s="12">
        <v>98</v>
      </c>
      <c r="H13" s="8">
        <v>13.41</v>
      </c>
      <c r="I13" s="12">
        <v>1</v>
      </c>
    </row>
    <row r="14" spans="2:9" ht="15" customHeight="1" x14ac:dyDescent="0.2">
      <c r="B14" t="s">
        <v>84</v>
      </c>
      <c r="C14" s="12">
        <v>84</v>
      </c>
      <c r="D14" s="8">
        <v>4.96</v>
      </c>
      <c r="E14" s="12">
        <v>36</v>
      </c>
      <c r="F14" s="8">
        <v>3.8</v>
      </c>
      <c r="G14" s="12">
        <v>48</v>
      </c>
      <c r="H14" s="8">
        <v>6.57</v>
      </c>
      <c r="I14" s="12">
        <v>0</v>
      </c>
    </row>
    <row r="15" spans="2:9" ht="15" customHeight="1" x14ac:dyDescent="0.2">
      <c r="B15" t="s">
        <v>85</v>
      </c>
      <c r="C15" s="12">
        <v>206</v>
      </c>
      <c r="D15" s="8">
        <v>12.15</v>
      </c>
      <c r="E15" s="12">
        <v>183</v>
      </c>
      <c r="F15" s="8">
        <v>19.32</v>
      </c>
      <c r="G15" s="12">
        <v>23</v>
      </c>
      <c r="H15" s="8">
        <v>3.15</v>
      </c>
      <c r="I15" s="12">
        <v>0</v>
      </c>
    </row>
    <row r="16" spans="2:9" ht="15" customHeight="1" x14ac:dyDescent="0.2">
      <c r="B16" t="s">
        <v>86</v>
      </c>
      <c r="C16" s="12">
        <v>195</v>
      </c>
      <c r="D16" s="8">
        <v>11.5</v>
      </c>
      <c r="E16" s="12">
        <v>161</v>
      </c>
      <c r="F16" s="8">
        <v>17</v>
      </c>
      <c r="G16" s="12">
        <v>34</v>
      </c>
      <c r="H16" s="8">
        <v>4.6500000000000004</v>
      </c>
      <c r="I16" s="12">
        <v>0</v>
      </c>
    </row>
    <row r="17" spans="2:9" ht="15" customHeight="1" x14ac:dyDescent="0.2">
      <c r="B17" t="s">
        <v>87</v>
      </c>
      <c r="C17" s="12">
        <v>59</v>
      </c>
      <c r="D17" s="8">
        <v>3.48</v>
      </c>
      <c r="E17" s="12">
        <v>50</v>
      </c>
      <c r="F17" s="8">
        <v>5.28</v>
      </c>
      <c r="G17" s="12">
        <v>9</v>
      </c>
      <c r="H17" s="8">
        <v>1.23</v>
      </c>
      <c r="I17" s="12">
        <v>0</v>
      </c>
    </row>
    <row r="18" spans="2:9" ht="15" customHeight="1" x14ac:dyDescent="0.2">
      <c r="B18" t="s">
        <v>88</v>
      </c>
      <c r="C18" s="12">
        <v>91</v>
      </c>
      <c r="D18" s="8">
        <v>5.37</v>
      </c>
      <c r="E18" s="12">
        <v>52</v>
      </c>
      <c r="F18" s="8">
        <v>5.49</v>
      </c>
      <c r="G18" s="12">
        <v>38</v>
      </c>
      <c r="H18" s="8">
        <v>5.2</v>
      </c>
      <c r="I18" s="12">
        <v>0</v>
      </c>
    </row>
    <row r="19" spans="2:9" ht="15" customHeight="1" x14ac:dyDescent="0.2">
      <c r="B19" t="s">
        <v>89</v>
      </c>
      <c r="C19" s="12">
        <v>69</v>
      </c>
      <c r="D19" s="8">
        <v>4.07</v>
      </c>
      <c r="E19" s="12">
        <v>22</v>
      </c>
      <c r="F19" s="8">
        <v>2.3199999999999998</v>
      </c>
      <c r="G19" s="12">
        <v>32</v>
      </c>
      <c r="H19" s="8">
        <v>4.38</v>
      </c>
      <c r="I19" s="12">
        <v>0</v>
      </c>
    </row>
    <row r="20" spans="2:9" ht="15" customHeight="1" x14ac:dyDescent="0.2">
      <c r="B20" s="9" t="s">
        <v>285</v>
      </c>
      <c r="C20" s="12">
        <f>SUM(LTBL_40108[総数／事業所数])</f>
        <v>1695</v>
      </c>
      <c r="E20" s="12">
        <f>SUBTOTAL(109,LTBL_40108[個人／事業所数])</f>
        <v>947</v>
      </c>
      <c r="G20" s="12">
        <f>SUBTOTAL(109,LTBL_40108[法人／事業所数])</f>
        <v>731</v>
      </c>
      <c r="I20" s="12">
        <f>SUBTOTAL(109,LTBL_40108[法人以外の団体／事業所数])</f>
        <v>1</v>
      </c>
    </row>
    <row r="21" spans="2:9" ht="15" customHeight="1" x14ac:dyDescent="0.2">
      <c r="E21" s="11">
        <f>LTBL_40108[[#Totals],[個人／事業所数]]/LTBL_40108[[#Totals],[総数／事業所数]]</f>
        <v>0.55870206489675511</v>
      </c>
      <c r="G21" s="11">
        <f>LTBL_40108[[#Totals],[法人／事業所数]]/LTBL_40108[[#Totals],[総数／事業所数]]</f>
        <v>0.4312684365781711</v>
      </c>
      <c r="I21" s="11">
        <f>LTBL_40108[[#Totals],[法人以外の団体／事業所数]]/LTBL_40108[[#Totals],[総数／事業所数]]</f>
        <v>5.8997050147492625E-4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109</v>
      </c>
      <c r="C24" s="12">
        <v>193</v>
      </c>
      <c r="D24" s="8">
        <v>11.39</v>
      </c>
      <c r="E24" s="12">
        <v>126</v>
      </c>
      <c r="F24" s="8">
        <v>13.31</v>
      </c>
      <c r="G24" s="12">
        <v>67</v>
      </c>
      <c r="H24" s="8">
        <v>9.17</v>
      </c>
      <c r="I24" s="12">
        <v>0</v>
      </c>
    </row>
    <row r="25" spans="2:9" ht="15" customHeight="1" x14ac:dyDescent="0.2">
      <c r="B25" t="s">
        <v>112</v>
      </c>
      <c r="C25" s="12">
        <v>185</v>
      </c>
      <c r="D25" s="8">
        <v>10.91</v>
      </c>
      <c r="E25" s="12">
        <v>173</v>
      </c>
      <c r="F25" s="8">
        <v>18.27</v>
      </c>
      <c r="G25" s="12">
        <v>12</v>
      </c>
      <c r="H25" s="8">
        <v>1.64</v>
      </c>
      <c r="I25" s="12">
        <v>0</v>
      </c>
    </row>
    <row r="26" spans="2:9" ht="15" customHeight="1" x14ac:dyDescent="0.2">
      <c r="B26" t="s">
        <v>113</v>
      </c>
      <c r="C26" s="12">
        <v>158</v>
      </c>
      <c r="D26" s="8">
        <v>9.32</v>
      </c>
      <c r="E26" s="12">
        <v>141</v>
      </c>
      <c r="F26" s="8">
        <v>14.89</v>
      </c>
      <c r="G26" s="12">
        <v>17</v>
      </c>
      <c r="H26" s="8">
        <v>2.33</v>
      </c>
      <c r="I26" s="12">
        <v>0</v>
      </c>
    </row>
    <row r="27" spans="2:9" ht="15" customHeight="1" x14ac:dyDescent="0.2">
      <c r="B27" t="s">
        <v>105</v>
      </c>
      <c r="C27" s="12">
        <v>132</v>
      </c>
      <c r="D27" s="8">
        <v>7.79</v>
      </c>
      <c r="E27" s="12">
        <v>108</v>
      </c>
      <c r="F27" s="8">
        <v>11.4</v>
      </c>
      <c r="G27" s="12">
        <v>24</v>
      </c>
      <c r="H27" s="8">
        <v>3.28</v>
      </c>
      <c r="I27" s="12">
        <v>0</v>
      </c>
    </row>
    <row r="28" spans="2:9" ht="15" customHeight="1" x14ac:dyDescent="0.2">
      <c r="B28" t="s">
        <v>107</v>
      </c>
      <c r="C28" s="12">
        <v>122</v>
      </c>
      <c r="D28" s="8">
        <v>7.2</v>
      </c>
      <c r="E28" s="12">
        <v>69</v>
      </c>
      <c r="F28" s="8">
        <v>7.29</v>
      </c>
      <c r="G28" s="12">
        <v>53</v>
      </c>
      <c r="H28" s="8">
        <v>7.25</v>
      </c>
      <c r="I28" s="12">
        <v>0</v>
      </c>
    </row>
    <row r="29" spans="2:9" ht="15" customHeight="1" x14ac:dyDescent="0.2">
      <c r="B29" t="s">
        <v>98</v>
      </c>
      <c r="C29" s="12">
        <v>83</v>
      </c>
      <c r="D29" s="8">
        <v>4.9000000000000004</v>
      </c>
      <c r="E29" s="12">
        <v>16</v>
      </c>
      <c r="F29" s="8">
        <v>1.69</v>
      </c>
      <c r="G29" s="12">
        <v>67</v>
      </c>
      <c r="H29" s="8">
        <v>9.17</v>
      </c>
      <c r="I29" s="12">
        <v>0</v>
      </c>
    </row>
    <row r="30" spans="2:9" ht="15" customHeight="1" x14ac:dyDescent="0.2">
      <c r="B30" t="s">
        <v>100</v>
      </c>
      <c r="C30" s="12">
        <v>73</v>
      </c>
      <c r="D30" s="8">
        <v>4.3099999999999996</v>
      </c>
      <c r="E30" s="12">
        <v>13</v>
      </c>
      <c r="F30" s="8">
        <v>1.37</v>
      </c>
      <c r="G30" s="12">
        <v>60</v>
      </c>
      <c r="H30" s="8">
        <v>8.2100000000000009</v>
      </c>
      <c r="I30" s="12">
        <v>0</v>
      </c>
    </row>
    <row r="31" spans="2:9" ht="15" customHeight="1" x14ac:dyDescent="0.2">
      <c r="B31" t="s">
        <v>115</v>
      </c>
      <c r="C31" s="12">
        <v>65</v>
      </c>
      <c r="D31" s="8">
        <v>3.83</v>
      </c>
      <c r="E31" s="12">
        <v>51</v>
      </c>
      <c r="F31" s="8">
        <v>5.39</v>
      </c>
      <c r="G31" s="12">
        <v>14</v>
      </c>
      <c r="H31" s="8">
        <v>1.92</v>
      </c>
      <c r="I31" s="12">
        <v>0</v>
      </c>
    </row>
    <row r="32" spans="2:9" ht="15" customHeight="1" x14ac:dyDescent="0.2">
      <c r="B32" t="s">
        <v>99</v>
      </c>
      <c r="C32" s="12">
        <v>64</v>
      </c>
      <c r="D32" s="8">
        <v>3.78</v>
      </c>
      <c r="E32" s="12">
        <v>16</v>
      </c>
      <c r="F32" s="8">
        <v>1.69</v>
      </c>
      <c r="G32" s="12">
        <v>48</v>
      </c>
      <c r="H32" s="8">
        <v>6.57</v>
      </c>
      <c r="I32" s="12">
        <v>0</v>
      </c>
    </row>
    <row r="33" spans="2:9" ht="15" customHeight="1" x14ac:dyDescent="0.2">
      <c r="B33" t="s">
        <v>114</v>
      </c>
      <c r="C33" s="12">
        <v>59</v>
      </c>
      <c r="D33" s="8">
        <v>3.48</v>
      </c>
      <c r="E33" s="12">
        <v>50</v>
      </c>
      <c r="F33" s="8">
        <v>5.28</v>
      </c>
      <c r="G33" s="12">
        <v>9</v>
      </c>
      <c r="H33" s="8">
        <v>1.23</v>
      </c>
      <c r="I33" s="12">
        <v>0</v>
      </c>
    </row>
    <row r="34" spans="2:9" ht="15" customHeight="1" x14ac:dyDescent="0.2">
      <c r="B34" t="s">
        <v>104</v>
      </c>
      <c r="C34" s="12">
        <v>54</v>
      </c>
      <c r="D34" s="8">
        <v>3.19</v>
      </c>
      <c r="E34" s="12">
        <v>24</v>
      </c>
      <c r="F34" s="8">
        <v>2.5299999999999998</v>
      </c>
      <c r="G34" s="12">
        <v>30</v>
      </c>
      <c r="H34" s="8">
        <v>4.0999999999999996</v>
      </c>
      <c r="I34" s="12">
        <v>0</v>
      </c>
    </row>
    <row r="35" spans="2:9" ht="15" customHeight="1" x14ac:dyDescent="0.2">
      <c r="B35" t="s">
        <v>110</v>
      </c>
      <c r="C35" s="12">
        <v>47</v>
      </c>
      <c r="D35" s="8">
        <v>2.77</v>
      </c>
      <c r="E35" s="12">
        <v>21</v>
      </c>
      <c r="F35" s="8">
        <v>2.2200000000000002</v>
      </c>
      <c r="G35" s="12">
        <v>26</v>
      </c>
      <c r="H35" s="8">
        <v>3.56</v>
      </c>
      <c r="I35" s="12">
        <v>0</v>
      </c>
    </row>
    <row r="36" spans="2:9" ht="15" customHeight="1" x14ac:dyDescent="0.2">
      <c r="B36" t="s">
        <v>106</v>
      </c>
      <c r="C36" s="12">
        <v>34</v>
      </c>
      <c r="D36" s="8">
        <v>2.0099999999999998</v>
      </c>
      <c r="E36" s="12">
        <v>18</v>
      </c>
      <c r="F36" s="8">
        <v>1.9</v>
      </c>
      <c r="G36" s="12">
        <v>16</v>
      </c>
      <c r="H36" s="8">
        <v>2.19</v>
      </c>
      <c r="I36" s="12">
        <v>0</v>
      </c>
    </row>
    <row r="37" spans="2:9" ht="15" customHeight="1" x14ac:dyDescent="0.2">
      <c r="B37" t="s">
        <v>111</v>
      </c>
      <c r="C37" s="12">
        <v>34</v>
      </c>
      <c r="D37" s="8">
        <v>2.0099999999999998</v>
      </c>
      <c r="E37" s="12">
        <v>14</v>
      </c>
      <c r="F37" s="8">
        <v>1.48</v>
      </c>
      <c r="G37" s="12">
        <v>20</v>
      </c>
      <c r="H37" s="8">
        <v>2.74</v>
      </c>
      <c r="I37" s="12">
        <v>0</v>
      </c>
    </row>
    <row r="38" spans="2:9" ht="15" customHeight="1" x14ac:dyDescent="0.2">
      <c r="B38" t="s">
        <v>116</v>
      </c>
      <c r="C38" s="12">
        <v>26</v>
      </c>
      <c r="D38" s="8">
        <v>1.53</v>
      </c>
      <c r="E38" s="12">
        <v>1</v>
      </c>
      <c r="F38" s="8">
        <v>0.11</v>
      </c>
      <c r="G38" s="12">
        <v>24</v>
      </c>
      <c r="H38" s="8">
        <v>3.28</v>
      </c>
      <c r="I38" s="12">
        <v>0</v>
      </c>
    </row>
    <row r="39" spans="2:9" ht="15" customHeight="1" x14ac:dyDescent="0.2">
      <c r="B39" t="s">
        <v>117</v>
      </c>
      <c r="C39" s="12">
        <v>25</v>
      </c>
      <c r="D39" s="8">
        <v>1.47</v>
      </c>
      <c r="E39" s="12">
        <v>2</v>
      </c>
      <c r="F39" s="8">
        <v>0.21</v>
      </c>
      <c r="G39" s="12">
        <v>23</v>
      </c>
      <c r="H39" s="8">
        <v>3.15</v>
      </c>
      <c r="I39" s="12">
        <v>0</v>
      </c>
    </row>
    <row r="40" spans="2:9" ht="15" customHeight="1" x14ac:dyDescent="0.2">
      <c r="B40" t="s">
        <v>108</v>
      </c>
      <c r="C40" s="12">
        <v>24</v>
      </c>
      <c r="D40" s="8">
        <v>1.42</v>
      </c>
      <c r="E40" s="12">
        <v>4</v>
      </c>
      <c r="F40" s="8">
        <v>0.42</v>
      </c>
      <c r="G40" s="12">
        <v>20</v>
      </c>
      <c r="H40" s="8">
        <v>2.74</v>
      </c>
      <c r="I40" s="12">
        <v>0</v>
      </c>
    </row>
    <row r="41" spans="2:9" ht="15" customHeight="1" x14ac:dyDescent="0.2">
      <c r="B41" t="s">
        <v>118</v>
      </c>
      <c r="C41" s="12">
        <v>24</v>
      </c>
      <c r="D41" s="8">
        <v>1.42</v>
      </c>
      <c r="E41" s="12">
        <v>12</v>
      </c>
      <c r="F41" s="8">
        <v>1.27</v>
      </c>
      <c r="G41" s="12">
        <v>12</v>
      </c>
      <c r="H41" s="8">
        <v>1.64</v>
      </c>
      <c r="I41" s="12">
        <v>0</v>
      </c>
    </row>
    <row r="42" spans="2:9" ht="15" customHeight="1" x14ac:dyDescent="0.2">
      <c r="B42" t="s">
        <v>101</v>
      </c>
      <c r="C42" s="12">
        <v>22</v>
      </c>
      <c r="D42" s="8">
        <v>1.3</v>
      </c>
      <c r="E42" s="12">
        <v>3</v>
      </c>
      <c r="F42" s="8">
        <v>0.32</v>
      </c>
      <c r="G42" s="12">
        <v>19</v>
      </c>
      <c r="H42" s="8">
        <v>2.6</v>
      </c>
      <c r="I42" s="12">
        <v>0</v>
      </c>
    </row>
    <row r="43" spans="2:9" ht="15" customHeight="1" x14ac:dyDescent="0.2">
      <c r="B43" t="s">
        <v>121</v>
      </c>
      <c r="C43" s="12">
        <v>18</v>
      </c>
      <c r="D43" s="8">
        <v>1.06</v>
      </c>
      <c r="E43" s="12">
        <v>8</v>
      </c>
      <c r="F43" s="8">
        <v>0.84</v>
      </c>
      <c r="G43" s="12">
        <v>10</v>
      </c>
      <c r="H43" s="8">
        <v>1.37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164</v>
      </c>
      <c r="C47" s="12">
        <v>79</v>
      </c>
      <c r="D47" s="8">
        <v>4.66</v>
      </c>
      <c r="E47" s="12">
        <v>44</v>
      </c>
      <c r="F47" s="8">
        <v>4.6500000000000004</v>
      </c>
      <c r="G47" s="12">
        <v>35</v>
      </c>
      <c r="H47" s="8">
        <v>4.79</v>
      </c>
      <c r="I47" s="12">
        <v>0</v>
      </c>
    </row>
    <row r="48" spans="2:9" ht="15" customHeight="1" x14ac:dyDescent="0.2">
      <c r="B48" t="s">
        <v>170</v>
      </c>
      <c r="C48" s="12">
        <v>79</v>
      </c>
      <c r="D48" s="8">
        <v>4.66</v>
      </c>
      <c r="E48" s="12">
        <v>73</v>
      </c>
      <c r="F48" s="8">
        <v>7.71</v>
      </c>
      <c r="G48" s="12">
        <v>6</v>
      </c>
      <c r="H48" s="8">
        <v>0.82</v>
      </c>
      <c r="I48" s="12">
        <v>0</v>
      </c>
    </row>
    <row r="49" spans="2:9" ht="15" customHeight="1" x14ac:dyDescent="0.2">
      <c r="B49" t="s">
        <v>175</v>
      </c>
      <c r="C49" s="12">
        <v>72</v>
      </c>
      <c r="D49" s="8">
        <v>4.25</v>
      </c>
      <c r="E49" s="12">
        <v>64</v>
      </c>
      <c r="F49" s="8">
        <v>6.76</v>
      </c>
      <c r="G49" s="12">
        <v>8</v>
      </c>
      <c r="H49" s="8">
        <v>1.0900000000000001</v>
      </c>
      <c r="I49" s="12">
        <v>0</v>
      </c>
    </row>
    <row r="50" spans="2:9" ht="15" customHeight="1" x14ac:dyDescent="0.2">
      <c r="B50" t="s">
        <v>169</v>
      </c>
      <c r="C50" s="12">
        <v>52</v>
      </c>
      <c r="D50" s="8">
        <v>3.07</v>
      </c>
      <c r="E50" s="12">
        <v>51</v>
      </c>
      <c r="F50" s="8">
        <v>5.39</v>
      </c>
      <c r="G50" s="12">
        <v>1</v>
      </c>
      <c r="H50" s="8">
        <v>0.14000000000000001</v>
      </c>
      <c r="I50" s="12">
        <v>0</v>
      </c>
    </row>
    <row r="51" spans="2:9" ht="15" customHeight="1" x14ac:dyDescent="0.2">
      <c r="B51" t="s">
        <v>167</v>
      </c>
      <c r="C51" s="12">
        <v>48</v>
      </c>
      <c r="D51" s="8">
        <v>2.83</v>
      </c>
      <c r="E51" s="12">
        <v>45</v>
      </c>
      <c r="F51" s="8">
        <v>4.75</v>
      </c>
      <c r="G51" s="12">
        <v>3</v>
      </c>
      <c r="H51" s="8">
        <v>0.41</v>
      </c>
      <c r="I51" s="12">
        <v>0</v>
      </c>
    </row>
    <row r="52" spans="2:9" ht="15" customHeight="1" x14ac:dyDescent="0.2">
      <c r="B52" t="s">
        <v>158</v>
      </c>
      <c r="C52" s="12">
        <v>46</v>
      </c>
      <c r="D52" s="8">
        <v>2.71</v>
      </c>
      <c r="E52" s="12">
        <v>38</v>
      </c>
      <c r="F52" s="8">
        <v>4.01</v>
      </c>
      <c r="G52" s="12">
        <v>8</v>
      </c>
      <c r="H52" s="8">
        <v>1.0900000000000001</v>
      </c>
      <c r="I52" s="12">
        <v>0</v>
      </c>
    </row>
    <row r="53" spans="2:9" ht="15" customHeight="1" x14ac:dyDescent="0.2">
      <c r="B53" t="s">
        <v>166</v>
      </c>
      <c r="C53" s="12">
        <v>41</v>
      </c>
      <c r="D53" s="8">
        <v>2.42</v>
      </c>
      <c r="E53" s="12">
        <v>37</v>
      </c>
      <c r="F53" s="8">
        <v>3.91</v>
      </c>
      <c r="G53" s="12">
        <v>4</v>
      </c>
      <c r="H53" s="8">
        <v>0.55000000000000004</v>
      </c>
      <c r="I53" s="12">
        <v>0</v>
      </c>
    </row>
    <row r="54" spans="2:9" ht="15" customHeight="1" x14ac:dyDescent="0.2">
      <c r="B54" t="s">
        <v>171</v>
      </c>
      <c r="C54" s="12">
        <v>39</v>
      </c>
      <c r="D54" s="8">
        <v>2.2999999999999998</v>
      </c>
      <c r="E54" s="12">
        <v>35</v>
      </c>
      <c r="F54" s="8">
        <v>3.7</v>
      </c>
      <c r="G54" s="12">
        <v>4</v>
      </c>
      <c r="H54" s="8">
        <v>0.55000000000000004</v>
      </c>
      <c r="I54" s="12">
        <v>0</v>
      </c>
    </row>
    <row r="55" spans="2:9" ht="15" customHeight="1" x14ac:dyDescent="0.2">
      <c r="B55" t="s">
        <v>160</v>
      </c>
      <c r="C55" s="12">
        <v>38</v>
      </c>
      <c r="D55" s="8">
        <v>2.2400000000000002</v>
      </c>
      <c r="E55" s="12">
        <v>18</v>
      </c>
      <c r="F55" s="8">
        <v>1.9</v>
      </c>
      <c r="G55" s="12">
        <v>20</v>
      </c>
      <c r="H55" s="8">
        <v>2.74</v>
      </c>
      <c r="I55" s="12">
        <v>0</v>
      </c>
    </row>
    <row r="56" spans="2:9" ht="15" customHeight="1" x14ac:dyDescent="0.2">
      <c r="B56" t="s">
        <v>168</v>
      </c>
      <c r="C56" s="12">
        <v>38</v>
      </c>
      <c r="D56" s="8">
        <v>2.2400000000000002</v>
      </c>
      <c r="E56" s="12">
        <v>38</v>
      </c>
      <c r="F56" s="8">
        <v>4.01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172</v>
      </c>
      <c r="C57" s="12">
        <v>36</v>
      </c>
      <c r="D57" s="8">
        <v>2.12</v>
      </c>
      <c r="E57" s="12">
        <v>32</v>
      </c>
      <c r="F57" s="8">
        <v>3.38</v>
      </c>
      <c r="G57" s="12">
        <v>4</v>
      </c>
      <c r="H57" s="8">
        <v>0.55000000000000004</v>
      </c>
      <c r="I57" s="12">
        <v>0</v>
      </c>
    </row>
    <row r="58" spans="2:9" ht="15" customHeight="1" x14ac:dyDescent="0.2">
      <c r="B58" t="s">
        <v>161</v>
      </c>
      <c r="C58" s="12">
        <v>35</v>
      </c>
      <c r="D58" s="8">
        <v>2.06</v>
      </c>
      <c r="E58" s="12">
        <v>24</v>
      </c>
      <c r="F58" s="8">
        <v>2.5299999999999998</v>
      </c>
      <c r="G58" s="12">
        <v>11</v>
      </c>
      <c r="H58" s="8">
        <v>1.5</v>
      </c>
      <c r="I58" s="12">
        <v>0</v>
      </c>
    </row>
    <row r="59" spans="2:9" ht="15" customHeight="1" x14ac:dyDescent="0.2">
      <c r="B59" t="s">
        <v>163</v>
      </c>
      <c r="C59" s="12">
        <v>35</v>
      </c>
      <c r="D59" s="8">
        <v>2.06</v>
      </c>
      <c r="E59" s="12">
        <v>17</v>
      </c>
      <c r="F59" s="8">
        <v>1.8</v>
      </c>
      <c r="G59" s="12">
        <v>18</v>
      </c>
      <c r="H59" s="8">
        <v>2.46</v>
      </c>
      <c r="I59" s="12">
        <v>0</v>
      </c>
    </row>
    <row r="60" spans="2:9" ht="15" customHeight="1" x14ac:dyDescent="0.2">
      <c r="B60" t="s">
        <v>156</v>
      </c>
      <c r="C60" s="12">
        <v>32</v>
      </c>
      <c r="D60" s="8">
        <v>1.89</v>
      </c>
      <c r="E60" s="12">
        <v>7</v>
      </c>
      <c r="F60" s="8">
        <v>0.74</v>
      </c>
      <c r="G60" s="12">
        <v>25</v>
      </c>
      <c r="H60" s="8">
        <v>3.42</v>
      </c>
      <c r="I60" s="12">
        <v>0</v>
      </c>
    </row>
    <row r="61" spans="2:9" ht="15" customHeight="1" x14ac:dyDescent="0.2">
      <c r="B61" t="s">
        <v>155</v>
      </c>
      <c r="C61" s="12">
        <v>26</v>
      </c>
      <c r="D61" s="8">
        <v>1.53</v>
      </c>
      <c r="E61" s="12">
        <v>5</v>
      </c>
      <c r="F61" s="8">
        <v>0.53</v>
      </c>
      <c r="G61" s="12">
        <v>21</v>
      </c>
      <c r="H61" s="8">
        <v>2.87</v>
      </c>
      <c r="I61" s="12">
        <v>0</v>
      </c>
    </row>
    <row r="62" spans="2:9" ht="15" customHeight="1" x14ac:dyDescent="0.2">
      <c r="B62" t="s">
        <v>176</v>
      </c>
      <c r="C62" s="12">
        <v>25</v>
      </c>
      <c r="D62" s="8">
        <v>1.47</v>
      </c>
      <c r="E62" s="12">
        <v>25</v>
      </c>
      <c r="F62" s="8">
        <v>2.64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154</v>
      </c>
      <c r="C63" s="12">
        <v>24</v>
      </c>
      <c r="D63" s="8">
        <v>1.42</v>
      </c>
      <c r="E63" s="12">
        <v>3</v>
      </c>
      <c r="F63" s="8">
        <v>0.32</v>
      </c>
      <c r="G63" s="12">
        <v>21</v>
      </c>
      <c r="H63" s="8">
        <v>2.87</v>
      </c>
      <c r="I63" s="12">
        <v>0</v>
      </c>
    </row>
    <row r="64" spans="2:9" ht="15" customHeight="1" x14ac:dyDescent="0.2">
      <c r="B64" t="s">
        <v>174</v>
      </c>
      <c r="C64" s="12">
        <v>21</v>
      </c>
      <c r="D64" s="8">
        <v>1.24</v>
      </c>
      <c r="E64" s="12">
        <v>6</v>
      </c>
      <c r="F64" s="8">
        <v>0.63</v>
      </c>
      <c r="G64" s="12">
        <v>15</v>
      </c>
      <c r="H64" s="8">
        <v>2.0499999999999998</v>
      </c>
      <c r="I64" s="12">
        <v>0</v>
      </c>
    </row>
    <row r="65" spans="2:9" ht="15" customHeight="1" x14ac:dyDescent="0.2">
      <c r="B65" t="s">
        <v>157</v>
      </c>
      <c r="C65" s="12">
        <v>21</v>
      </c>
      <c r="D65" s="8">
        <v>1.24</v>
      </c>
      <c r="E65" s="12">
        <v>14</v>
      </c>
      <c r="F65" s="8">
        <v>1.48</v>
      </c>
      <c r="G65" s="12">
        <v>7</v>
      </c>
      <c r="H65" s="8">
        <v>0.96</v>
      </c>
      <c r="I65" s="12">
        <v>0</v>
      </c>
    </row>
    <row r="66" spans="2:9" ht="15" customHeight="1" x14ac:dyDescent="0.2">
      <c r="B66" t="s">
        <v>177</v>
      </c>
      <c r="C66" s="12">
        <v>21</v>
      </c>
      <c r="D66" s="8">
        <v>1.24</v>
      </c>
      <c r="E66" s="12">
        <v>13</v>
      </c>
      <c r="F66" s="8">
        <v>1.37</v>
      </c>
      <c r="G66" s="12">
        <v>8</v>
      </c>
      <c r="H66" s="8">
        <v>1.0900000000000001</v>
      </c>
      <c r="I66" s="12">
        <v>0</v>
      </c>
    </row>
    <row r="67" spans="2:9" ht="15" customHeight="1" x14ac:dyDescent="0.2">
      <c r="B67" t="s">
        <v>183</v>
      </c>
      <c r="C67" s="12">
        <v>21</v>
      </c>
      <c r="D67" s="8">
        <v>1.24</v>
      </c>
      <c r="E67" s="12">
        <v>17</v>
      </c>
      <c r="F67" s="8">
        <v>1.8</v>
      </c>
      <c r="G67" s="12">
        <v>4</v>
      </c>
      <c r="H67" s="8">
        <v>0.55000000000000004</v>
      </c>
      <c r="I67" s="12">
        <v>0</v>
      </c>
    </row>
    <row r="69" spans="2:9" ht="15" customHeight="1" x14ac:dyDescent="0.2">
      <c r="B69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3880F-2FF7-4D8D-9696-3A0213353A1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296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853</v>
      </c>
      <c r="D6" s="8">
        <v>15.86</v>
      </c>
      <c r="E6" s="12">
        <v>178</v>
      </c>
      <c r="F6" s="8">
        <v>6.44</v>
      </c>
      <c r="G6" s="12">
        <v>675</v>
      </c>
      <c r="H6" s="8">
        <v>26.34</v>
      </c>
      <c r="I6" s="12">
        <v>0</v>
      </c>
    </row>
    <row r="7" spans="2:9" ht="15" customHeight="1" x14ac:dyDescent="0.2">
      <c r="B7" t="s">
        <v>77</v>
      </c>
      <c r="C7" s="12">
        <v>281</v>
      </c>
      <c r="D7" s="8">
        <v>5.23</v>
      </c>
      <c r="E7" s="12">
        <v>93</v>
      </c>
      <c r="F7" s="8">
        <v>3.36</v>
      </c>
      <c r="G7" s="12">
        <v>188</v>
      </c>
      <c r="H7" s="8">
        <v>7.34</v>
      </c>
      <c r="I7" s="12">
        <v>0</v>
      </c>
    </row>
    <row r="8" spans="2:9" ht="15" customHeight="1" x14ac:dyDescent="0.2">
      <c r="B8" t="s">
        <v>78</v>
      </c>
      <c r="C8" s="12">
        <v>6</v>
      </c>
      <c r="D8" s="8">
        <v>0.11</v>
      </c>
      <c r="E8" s="12">
        <v>0</v>
      </c>
      <c r="F8" s="8">
        <v>0</v>
      </c>
      <c r="G8" s="12">
        <v>6</v>
      </c>
      <c r="H8" s="8">
        <v>0.23</v>
      </c>
      <c r="I8" s="12">
        <v>0</v>
      </c>
    </row>
    <row r="9" spans="2:9" ht="15" customHeight="1" x14ac:dyDescent="0.2">
      <c r="B9" t="s">
        <v>79</v>
      </c>
      <c r="C9" s="12">
        <v>47</v>
      </c>
      <c r="D9" s="8">
        <v>0.87</v>
      </c>
      <c r="E9" s="12">
        <v>4</v>
      </c>
      <c r="F9" s="8">
        <v>0.14000000000000001</v>
      </c>
      <c r="G9" s="12">
        <v>43</v>
      </c>
      <c r="H9" s="8">
        <v>1.68</v>
      </c>
      <c r="I9" s="12">
        <v>0</v>
      </c>
    </row>
    <row r="10" spans="2:9" ht="15" customHeight="1" x14ac:dyDescent="0.2">
      <c r="B10" t="s">
        <v>80</v>
      </c>
      <c r="C10" s="12">
        <v>39</v>
      </c>
      <c r="D10" s="8">
        <v>0.73</v>
      </c>
      <c r="E10" s="12">
        <v>16</v>
      </c>
      <c r="F10" s="8">
        <v>0.57999999999999996</v>
      </c>
      <c r="G10" s="12">
        <v>23</v>
      </c>
      <c r="H10" s="8">
        <v>0.9</v>
      </c>
      <c r="I10" s="12">
        <v>0</v>
      </c>
    </row>
    <row r="11" spans="2:9" ht="15" customHeight="1" x14ac:dyDescent="0.2">
      <c r="B11" t="s">
        <v>81</v>
      </c>
      <c r="C11" s="12">
        <v>1181</v>
      </c>
      <c r="D11" s="8">
        <v>21.96</v>
      </c>
      <c r="E11" s="12">
        <v>604</v>
      </c>
      <c r="F11" s="8">
        <v>21.84</v>
      </c>
      <c r="G11" s="12">
        <v>577</v>
      </c>
      <c r="H11" s="8">
        <v>22.51</v>
      </c>
      <c r="I11" s="12">
        <v>0</v>
      </c>
    </row>
    <row r="12" spans="2:9" ht="15" customHeight="1" x14ac:dyDescent="0.2">
      <c r="B12" t="s">
        <v>82</v>
      </c>
      <c r="C12" s="12">
        <v>38</v>
      </c>
      <c r="D12" s="8">
        <v>0.71</v>
      </c>
      <c r="E12" s="12">
        <v>8</v>
      </c>
      <c r="F12" s="8">
        <v>0.28999999999999998</v>
      </c>
      <c r="G12" s="12">
        <v>30</v>
      </c>
      <c r="H12" s="8">
        <v>1.17</v>
      </c>
      <c r="I12" s="12">
        <v>0</v>
      </c>
    </row>
    <row r="13" spans="2:9" ht="15" customHeight="1" x14ac:dyDescent="0.2">
      <c r="B13" t="s">
        <v>83</v>
      </c>
      <c r="C13" s="12">
        <v>543</v>
      </c>
      <c r="D13" s="8">
        <v>10.1</v>
      </c>
      <c r="E13" s="12">
        <v>182</v>
      </c>
      <c r="F13" s="8">
        <v>6.58</v>
      </c>
      <c r="G13" s="12">
        <v>361</v>
      </c>
      <c r="H13" s="8">
        <v>14.09</v>
      </c>
      <c r="I13" s="12">
        <v>0</v>
      </c>
    </row>
    <row r="14" spans="2:9" ht="15" customHeight="1" x14ac:dyDescent="0.2">
      <c r="B14" t="s">
        <v>84</v>
      </c>
      <c r="C14" s="12">
        <v>290</v>
      </c>
      <c r="D14" s="8">
        <v>5.39</v>
      </c>
      <c r="E14" s="12">
        <v>144</v>
      </c>
      <c r="F14" s="8">
        <v>5.21</v>
      </c>
      <c r="G14" s="12">
        <v>144</v>
      </c>
      <c r="H14" s="8">
        <v>5.62</v>
      </c>
      <c r="I14" s="12">
        <v>1</v>
      </c>
    </row>
    <row r="15" spans="2:9" ht="15" customHeight="1" x14ac:dyDescent="0.2">
      <c r="B15" t="s">
        <v>85</v>
      </c>
      <c r="C15" s="12">
        <v>680</v>
      </c>
      <c r="D15" s="8">
        <v>12.65</v>
      </c>
      <c r="E15" s="12">
        <v>575</v>
      </c>
      <c r="F15" s="8">
        <v>20.79</v>
      </c>
      <c r="G15" s="12">
        <v>104</v>
      </c>
      <c r="H15" s="8">
        <v>4.0599999999999996</v>
      </c>
      <c r="I15" s="12">
        <v>0</v>
      </c>
    </row>
    <row r="16" spans="2:9" ht="15" customHeight="1" x14ac:dyDescent="0.2">
      <c r="B16" t="s">
        <v>86</v>
      </c>
      <c r="C16" s="12">
        <v>741</v>
      </c>
      <c r="D16" s="8">
        <v>13.78</v>
      </c>
      <c r="E16" s="12">
        <v>596</v>
      </c>
      <c r="F16" s="8">
        <v>21.55</v>
      </c>
      <c r="G16" s="12">
        <v>144</v>
      </c>
      <c r="H16" s="8">
        <v>5.62</v>
      </c>
      <c r="I16" s="12">
        <v>1</v>
      </c>
    </row>
    <row r="17" spans="2:9" ht="15" customHeight="1" x14ac:dyDescent="0.2">
      <c r="B17" t="s">
        <v>87</v>
      </c>
      <c r="C17" s="12">
        <v>153</v>
      </c>
      <c r="D17" s="8">
        <v>2.85</v>
      </c>
      <c r="E17" s="12">
        <v>111</v>
      </c>
      <c r="F17" s="8">
        <v>4.01</v>
      </c>
      <c r="G17" s="12">
        <v>38</v>
      </c>
      <c r="H17" s="8">
        <v>1.48</v>
      </c>
      <c r="I17" s="12">
        <v>2</v>
      </c>
    </row>
    <row r="18" spans="2:9" ht="15" customHeight="1" x14ac:dyDescent="0.2">
      <c r="B18" t="s">
        <v>88</v>
      </c>
      <c r="C18" s="12">
        <v>312</v>
      </c>
      <c r="D18" s="8">
        <v>5.8</v>
      </c>
      <c r="E18" s="12">
        <v>180</v>
      </c>
      <c r="F18" s="8">
        <v>6.51</v>
      </c>
      <c r="G18" s="12">
        <v>129</v>
      </c>
      <c r="H18" s="8">
        <v>5.03</v>
      </c>
      <c r="I18" s="12">
        <v>0</v>
      </c>
    </row>
    <row r="19" spans="2:9" ht="15" customHeight="1" x14ac:dyDescent="0.2">
      <c r="B19" t="s">
        <v>89</v>
      </c>
      <c r="C19" s="12">
        <v>213</v>
      </c>
      <c r="D19" s="8">
        <v>3.96</v>
      </c>
      <c r="E19" s="12">
        <v>75</v>
      </c>
      <c r="F19" s="8">
        <v>2.71</v>
      </c>
      <c r="G19" s="12">
        <v>101</v>
      </c>
      <c r="H19" s="8">
        <v>3.94</v>
      </c>
      <c r="I19" s="12">
        <v>2</v>
      </c>
    </row>
    <row r="20" spans="2:9" ht="15" customHeight="1" x14ac:dyDescent="0.2">
      <c r="B20" s="9" t="s">
        <v>285</v>
      </c>
      <c r="C20" s="12">
        <f>SUM(LTBL_40109[総数／事業所数])</f>
        <v>5377</v>
      </c>
      <c r="E20" s="12">
        <f>SUBTOTAL(109,LTBL_40109[個人／事業所数])</f>
        <v>2766</v>
      </c>
      <c r="G20" s="12">
        <f>SUBTOTAL(109,LTBL_40109[法人／事業所数])</f>
        <v>2563</v>
      </c>
      <c r="I20" s="12">
        <f>SUBTOTAL(109,LTBL_40109[法人以外の団体／事業所数])</f>
        <v>6</v>
      </c>
    </row>
    <row r="21" spans="2:9" ht="15" customHeight="1" x14ac:dyDescent="0.2">
      <c r="E21" s="11">
        <f>LTBL_40109[[#Totals],[個人／事業所数]]/LTBL_40109[[#Totals],[総数／事業所数]]</f>
        <v>0.51441324158452673</v>
      </c>
      <c r="G21" s="11">
        <f>LTBL_40109[[#Totals],[法人／事業所数]]/LTBL_40109[[#Totals],[総数／事業所数]]</f>
        <v>0.47665984749860518</v>
      </c>
      <c r="I21" s="11">
        <f>LTBL_40109[[#Totals],[法人以外の団体／事業所数]]/LTBL_40109[[#Totals],[総数／事業所数]]</f>
        <v>1.1158638646085177E-3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112</v>
      </c>
      <c r="C24" s="12">
        <v>633</v>
      </c>
      <c r="D24" s="8">
        <v>11.77</v>
      </c>
      <c r="E24" s="12">
        <v>560</v>
      </c>
      <c r="F24" s="8">
        <v>20.25</v>
      </c>
      <c r="G24" s="12">
        <v>73</v>
      </c>
      <c r="H24" s="8">
        <v>2.85</v>
      </c>
      <c r="I24" s="12">
        <v>0</v>
      </c>
    </row>
    <row r="25" spans="2:9" ht="15" customHeight="1" x14ac:dyDescent="0.2">
      <c r="B25" t="s">
        <v>113</v>
      </c>
      <c r="C25" s="12">
        <v>623</v>
      </c>
      <c r="D25" s="8">
        <v>11.59</v>
      </c>
      <c r="E25" s="12">
        <v>534</v>
      </c>
      <c r="F25" s="8">
        <v>19.309999999999999</v>
      </c>
      <c r="G25" s="12">
        <v>88</v>
      </c>
      <c r="H25" s="8">
        <v>3.43</v>
      </c>
      <c r="I25" s="12">
        <v>1</v>
      </c>
    </row>
    <row r="26" spans="2:9" ht="15" customHeight="1" x14ac:dyDescent="0.2">
      <c r="B26" t="s">
        <v>109</v>
      </c>
      <c r="C26" s="12">
        <v>425</v>
      </c>
      <c r="D26" s="8">
        <v>7.9</v>
      </c>
      <c r="E26" s="12">
        <v>162</v>
      </c>
      <c r="F26" s="8">
        <v>5.86</v>
      </c>
      <c r="G26" s="12">
        <v>263</v>
      </c>
      <c r="H26" s="8">
        <v>10.26</v>
      </c>
      <c r="I26" s="12">
        <v>0</v>
      </c>
    </row>
    <row r="27" spans="2:9" ht="15" customHeight="1" x14ac:dyDescent="0.2">
      <c r="B27" t="s">
        <v>98</v>
      </c>
      <c r="C27" s="12">
        <v>373</v>
      </c>
      <c r="D27" s="8">
        <v>6.94</v>
      </c>
      <c r="E27" s="12">
        <v>73</v>
      </c>
      <c r="F27" s="8">
        <v>2.64</v>
      </c>
      <c r="G27" s="12">
        <v>300</v>
      </c>
      <c r="H27" s="8">
        <v>11.71</v>
      </c>
      <c r="I27" s="12">
        <v>0</v>
      </c>
    </row>
    <row r="28" spans="2:9" ht="15" customHeight="1" x14ac:dyDescent="0.2">
      <c r="B28" t="s">
        <v>107</v>
      </c>
      <c r="C28" s="12">
        <v>349</v>
      </c>
      <c r="D28" s="8">
        <v>6.49</v>
      </c>
      <c r="E28" s="12">
        <v>175</v>
      </c>
      <c r="F28" s="8">
        <v>6.33</v>
      </c>
      <c r="G28" s="12">
        <v>174</v>
      </c>
      <c r="H28" s="8">
        <v>6.79</v>
      </c>
      <c r="I28" s="12">
        <v>0</v>
      </c>
    </row>
    <row r="29" spans="2:9" ht="15" customHeight="1" x14ac:dyDescent="0.2">
      <c r="B29" t="s">
        <v>105</v>
      </c>
      <c r="C29" s="12">
        <v>249</v>
      </c>
      <c r="D29" s="8">
        <v>4.63</v>
      </c>
      <c r="E29" s="12">
        <v>201</v>
      </c>
      <c r="F29" s="8">
        <v>7.27</v>
      </c>
      <c r="G29" s="12">
        <v>48</v>
      </c>
      <c r="H29" s="8">
        <v>1.87</v>
      </c>
      <c r="I29" s="12">
        <v>0</v>
      </c>
    </row>
    <row r="30" spans="2:9" ht="15" customHeight="1" x14ac:dyDescent="0.2">
      <c r="B30" t="s">
        <v>99</v>
      </c>
      <c r="C30" s="12">
        <v>241</v>
      </c>
      <c r="D30" s="8">
        <v>4.4800000000000004</v>
      </c>
      <c r="E30" s="12">
        <v>76</v>
      </c>
      <c r="F30" s="8">
        <v>2.75</v>
      </c>
      <c r="G30" s="12">
        <v>165</v>
      </c>
      <c r="H30" s="8">
        <v>6.44</v>
      </c>
      <c r="I30" s="12">
        <v>0</v>
      </c>
    </row>
    <row r="31" spans="2:9" ht="15" customHeight="1" x14ac:dyDescent="0.2">
      <c r="B31" t="s">
        <v>100</v>
      </c>
      <c r="C31" s="12">
        <v>239</v>
      </c>
      <c r="D31" s="8">
        <v>4.4400000000000004</v>
      </c>
      <c r="E31" s="12">
        <v>29</v>
      </c>
      <c r="F31" s="8">
        <v>1.05</v>
      </c>
      <c r="G31" s="12">
        <v>210</v>
      </c>
      <c r="H31" s="8">
        <v>8.19</v>
      </c>
      <c r="I31" s="12">
        <v>0</v>
      </c>
    </row>
    <row r="32" spans="2:9" ht="15" customHeight="1" x14ac:dyDescent="0.2">
      <c r="B32" t="s">
        <v>115</v>
      </c>
      <c r="C32" s="12">
        <v>215</v>
      </c>
      <c r="D32" s="8">
        <v>4</v>
      </c>
      <c r="E32" s="12">
        <v>180</v>
      </c>
      <c r="F32" s="8">
        <v>6.51</v>
      </c>
      <c r="G32" s="12">
        <v>35</v>
      </c>
      <c r="H32" s="8">
        <v>1.37</v>
      </c>
      <c r="I32" s="12">
        <v>0</v>
      </c>
    </row>
    <row r="33" spans="2:9" ht="15" customHeight="1" x14ac:dyDescent="0.2">
      <c r="B33" t="s">
        <v>106</v>
      </c>
      <c r="C33" s="12">
        <v>166</v>
      </c>
      <c r="D33" s="8">
        <v>3.09</v>
      </c>
      <c r="E33" s="12">
        <v>109</v>
      </c>
      <c r="F33" s="8">
        <v>3.94</v>
      </c>
      <c r="G33" s="12">
        <v>57</v>
      </c>
      <c r="H33" s="8">
        <v>2.2200000000000002</v>
      </c>
      <c r="I33" s="12">
        <v>0</v>
      </c>
    </row>
    <row r="34" spans="2:9" ht="15" customHeight="1" x14ac:dyDescent="0.2">
      <c r="B34" t="s">
        <v>110</v>
      </c>
      <c r="C34" s="12">
        <v>160</v>
      </c>
      <c r="D34" s="8">
        <v>2.98</v>
      </c>
      <c r="E34" s="12">
        <v>93</v>
      </c>
      <c r="F34" s="8">
        <v>3.36</v>
      </c>
      <c r="G34" s="12">
        <v>67</v>
      </c>
      <c r="H34" s="8">
        <v>2.61</v>
      </c>
      <c r="I34" s="12">
        <v>0</v>
      </c>
    </row>
    <row r="35" spans="2:9" ht="15" customHeight="1" x14ac:dyDescent="0.2">
      <c r="B35" t="s">
        <v>114</v>
      </c>
      <c r="C35" s="12">
        <v>153</v>
      </c>
      <c r="D35" s="8">
        <v>2.85</v>
      </c>
      <c r="E35" s="12">
        <v>111</v>
      </c>
      <c r="F35" s="8">
        <v>4.01</v>
      </c>
      <c r="G35" s="12">
        <v>38</v>
      </c>
      <c r="H35" s="8">
        <v>1.48</v>
      </c>
      <c r="I35" s="12">
        <v>2</v>
      </c>
    </row>
    <row r="36" spans="2:9" ht="15" customHeight="1" x14ac:dyDescent="0.2">
      <c r="B36" t="s">
        <v>111</v>
      </c>
      <c r="C36" s="12">
        <v>118</v>
      </c>
      <c r="D36" s="8">
        <v>2.19</v>
      </c>
      <c r="E36" s="12">
        <v>51</v>
      </c>
      <c r="F36" s="8">
        <v>1.84</v>
      </c>
      <c r="G36" s="12">
        <v>66</v>
      </c>
      <c r="H36" s="8">
        <v>2.58</v>
      </c>
      <c r="I36" s="12">
        <v>0</v>
      </c>
    </row>
    <row r="37" spans="2:9" ht="15" customHeight="1" x14ac:dyDescent="0.2">
      <c r="B37" t="s">
        <v>104</v>
      </c>
      <c r="C37" s="12">
        <v>111</v>
      </c>
      <c r="D37" s="8">
        <v>2.06</v>
      </c>
      <c r="E37" s="12">
        <v>60</v>
      </c>
      <c r="F37" s="8">
        <v>2.17</v>
      </c>
      <c r="G37" s="12">
        <v>51</v>
      </c>
      <c r="H37" s="8">
        <v>1.99</v>
      </c>
      <c r="I37" s="12">
        <v>0</v>
      </c>
    </row>
    <row r="38" spans="2:9" ht="15" customHeight="1" x14ac:dyDescent="0.2">
      <c r="B38" t="s">
        <v>116</v>
      </c>
      <c r="C38" s="12">
        <v>97</v>
      </c>
      <c r="D38" s="8">
        <v>1.8</v>
      </c>
      <c r="E38" s="12">
        <v>0</v>
      </c>
      <c r="F38" s="8">
        <v>0</v>
      </c>
      <c r="G38" s="12">
        <v>94</v>
      </c>
      <c r="H38" s="8">
        <v>3.67</v>
      </c>
      <c r="I38" s="12">
        <v>0</v>
      </c>
    </row>
    <row r="39" spans="2:9" ht="15" customHeight="1" x14ac:dyDescent="0.2">
      <c r="B39" t="s">
        <v>108</v>
      </c>
      <c r="C39" s="12">
        <v>94</v>
      </c>
      <c r="D39" s="8">
        <v>1.75</v>
      </c>
      <c r="E39" s="12">
        <v>19</v>
      </c>
      <c r="F39" s="8">
        <v>0.69</v>
      </c>
      <c r="G39" s="12">
        <v>75</v>
      </c>
      <c r="H39" s="8">
        <v>2.93</v>
      </c>
      <c r="I39" s="12">
        <v>0</v>
      </c>
    </row>
    <row r="40" spans="2:9" ht="15" customHeight="1" x14ac:dyDescent="0.2">
      <c r="B40" t="s">
        <v>118</v>
      </c>
      <c r="C40" s="12">
        <v>79</v>
      </c>
      <c r="D40" s="8">
        <v>1.47</v>
      </c>
      <c r="E40" s="12">
        <v>33</v>
      </c>
      <c r="F40" s="8">
        <v>1.19</v>
      </c>
      <c r="G40" s="12">
        <v>46</v>
      </c>
      <c r="H40" s="8">
        <v>1.79</v>
      </c>
      <c r="I40" s="12">
        <v>0</v>
      </c>
    </row>
    <row r="41" spans="2:9" ht="15" customHeight="1" x14ac:dyDescent="0.2">
      <c r="B41" t="s">
        <v>123</v>
      </c>
      <c r="C41" s="12">
        <v>78</v>
      </c>
      <c r="D41" s="8">
        <v>1.45</v>
      </c>
      <c r="E41" s="12">
        <v>52</v>
      </c>
      <c r="F41" s="8">
        <v>1.88</v>
      </c>
      <c r="G41" s="12">
        <v>25</v>
      </c>
      <c r="H41" s="8">
        <v>0.98</v>
      </c>
      <c r="I41" s="12">
        <v>1</v>
      </c>
    </row>
    <row r="42" spans="2:9" ht="15" customHeight="1" x14ac:dyDescent="0.2">
      <c r="B42" t="s">
        <v>101</v>
      </c>
      <c r="C42" s="12">
        <v>77</v>
      </c>
      <c r="D42" s="8">
        <v>1.43</v>
      </c>
      <c r="E42" s="12">
        <v>6</v>
      </c>
      <c r="F42" s="8">
        <v>0.22</v>
      </c>
      <c r="G42" s="12">
        <v>71</v>
      </c>
      <c r="H42" s="8">
        <v>2.77</v>
      </c>
      <c r="I42" s="12">
        <v>0</v>
      </c>
    </row>
    <row r="43" spans="2:9" ht="15" customHeight="1" x14ac:dyDescent="0.2">
      <c r="B43" t="s">
        <v>103</v>
      </c>
      <c r="C43" s="12">
        <v>69</v>
      </c>
      <c r="D43" s="8">
        <v>1.28</v>
      </c>
      <c r="E43" s="12">
        <v>17</v>
      </c>
      <c r="F43" s="8">
        <v>0.61</v>
      </c>
      <c r="G43" s="12">
        <v>52</v>
      </c>
      <c r="H43" s="8">
        <v>2.0299999999999998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170</v>
      </c>
      <c r="C47" s="12">
        <v>336</v>
      </c>
      <c r="D47" s="8">
        <v>6.25</v>
      </c>
      <c r="E47" s="12">
        <v>304</v>
      </c>
      <c r="F47" s="8">
        <v>10.99</v>
      </c>
      <c r="G47" s="12">
        <v>32</v>
      </c>
      <c r="H47" s="8">
        <v>1.25</v>
      </c>
      <c r="I47" s="12">
        <v>0</v>
      </c>
    </row>
    <row r="48" spans="2:9" ht="15" customHeight="1" x14ac:dyDescent="0.2">
      <c r="B48" t="s">
        <v>164</v>
      </c>
      <c r="C48" s="12">
        <v>230</v>
      </c>
      <c r="D48" s="8">
        <v>4.28</v>
      </c>
      <c r="E48" s="12">
        <v>107</v>
      </c>
      <c r="F48" s="8">
        <v>3.87</v>
      </c>
      <c r="G48" s="12">
        <v>123</v>
      </c>
      <c r="H48" s="8">
        <v>4.8</v>
      </c>
      <c r="I48" s="12">
        <v>0</v>
      </c>
    </row>
    <row r="49" spans="2:9" ht="15" customHeight="1" x14ac:dyDescent="0.2">
      <c r="B49" t="s">
        <v>167</v>
      </c>
      <c r="C49" s="12">
        <v>183</v>
      </c>
      <c r="D49" s="8">
        <v>3.4</v>
      </c>
      <c r="E49" s="12">
        <v>170</v>
      </c>
      <c r="F49" s="8">
        <v>6.15</v>
      </c>
      <c r="G49" s="12">
        <v>13</v>
      </c>
      <c r="H49" s="8">
        <v>0.51</v>
      </c>
      <c r="I49" s="12">
        <v>0</v>
      </c>
    </row>
    <row r="50" spans="2:9" ht="15" customHeight="1" x14ac:dyDescent="0.2">
      <c r="B50" t="s">
        <v>169</v>
      </c>
      <c r="C50" s="12">
        <v>181</v>
      </c>
      <c r="D50" s="8">
        <v>3.37</v>
      </c>
      <c r="E50" s="12">
        <v>176</v>
      </c>
      <c r="F50" s="8">
        <v>6.36</v>
      </c>
      <c r="G50" s="12">
        <v>5</v>
      </c>
      <c r="H50" s="8">
        <v>0.2</v>
      </c>
      <c r="I50" s="12">
        <v>0</v>
      </c>
    </row>
    <row r="51" spans="2:9" ht="15" customHeight="1" x14ac:dyDescent="0.2">
      <c r="B51" t="s">
        <v>168</v>
      </c>
      <c r="C51" s="12">
        <v>178</v>
      </c>
      <c r="D51" s="8">
        <v>3.31</v>
      </c>
      <c r="E51" s="12">
        <v>163</v>
      </c>
      <c r="F51" s="8">
        <v>5.89</v>
      </c>
      <c r="G51" s="12">
        <v>15</v>
      </c>
      <c r="H51" s="8">
        <v>0.59</v>
      </c>
      <c r="I51" s="12">
        <v>0</v>
      </c>
    </row>
    <row r="52" spans="2:9" ht="15" customHeight="1" x14ac:dyDescent="0.2">
      <c r="B52" t="s">
        <v>160</v>
      </c>
      <c r="C52" s="12">
        <v>133</v>
      </c>
      <c r="D52" s="8">
        <v>2.4700000000000002</v>
      </c>
      <c r="E52" s="12">
        <v>41</v>
      </c>
      <c r="F52" s="8">
        <v>1.48</v>
      </c>
      <c r="G52" s="12">
        <v>92</v>
      </c>
      <c r="H52" s="8">
        <v>3.59</v>
      </c>
      <c r="I52" s="12">
        <v>0</v>
      </c>
    </row>
    <row r="53" spans="2:9" ht="15" customHeight="1" x14ac:dyDescent="0.2">
      <c r="B53" t="s">
        <v>172</v>
      </c>
      <c r="C53" s="12">
        <v>133</v>
      </c>
      <c r="D53" s="8">
        <v>2.4700000000000002</v>
      </c>
      <c r="E53" s="12">
        <v>112</v>
      </c>
      <c r="F53" s="8">
        <v>4.05</v>
      </c>
      <c r="G53" s="12">
        <v>21</v>
      </c>
      <c r="H53" s="8">
        <v>0.82</v>
      </c>
      <c r="I53" s="12">
        <v>0</v>
      </c>
    </row>
    <row r="54" spans="2:9" ht="15" customHeight="1" x14ac:dyDescent="0.2">
      <c r="B54" t="s">
        <v>166</v>
      </c>
      <c r="C54" s="12">
        <v>128</v>
      </c>
      <c r="D54" s="8">
        <v>2.38</v>
      </c>
      <c r="E54" s="12">
        <v>99</v>
      </c>
      <c r="F54" s="8">
        <v>3.58</v>
      </c>
      <c r="G54" s="12">
        <v>29</v>
      </c>
      <c r="H54" s="8">
        <v>1.1299999999999999</v>
      </c>
      <c r="I54" s="12">
        <v>0</v>
      </c>
    </row>
    <row r="55" spans="2:9" ht="15" customHeight="1" x14ac:dyDescent="0.2">
      <c r="B55" t="s">
        <v>154</v>
      </c>
      <c r="C55" s="12">
        <v>127</v>
      </c>
      <c r="D55" s="8">
        <v>2.36</v>
      </c>
      <c r="E55" s="12">
        <v>25</v>
      </c>
      <c r="F55" s="8">
        <v>0.9</v>
      </c>
      <c r="G55" s="12">
        <v>102</v>
      </c>
      <c r="H55" s="8">
        <v>3.98</v>
      </c>
      <c r="I55" s="12">
        <v>0</v>
      </c>
    </row>
    <row r="56" spans="2:9" ht="15" customHeight="1" x14ac:dyDescent="0.2">
      <c r="B56" t="s">
        <v>159</v>
      </c>
      <c r="C56" s="12">
        <v>111</v>
      </c>
      <c r="D56" s="8">
        <v>2.06</v>
      </c>
      <c r="E56" s="12">
        <v>81</v>
      </c>
      <c r="F56" s="8">
        <v>2.93</v>
      </c>
      <c r="G56" s="12">
        <v>30</v>
      </c>
      <c r="H56" s="8">
        <v>1.17</v>
      </c>
      <c r="I56" s="12">
        <v>0</v>
      </c>
    </row>
    <row r="57" spans="2:9" ht="15" customHeight="1" x14ac:dyDescent="0.2">
      <c r="B57" t="s">
        <v>156</v>
      </c>
      <c r="C57" s="12">
        <v>102</v>
      </c>
      <c r="D57" s="8">
        <v>1.9</v>
      </c>
      <c r="E57" s="12">
        <v>15</v>
      </c>
      <c r="F57" s="8">
        <v>0.54</v>
      </c>
      <c r="G57" s="12">
        <v>87</v>
      </c>
      <c r="H57" s="8">
        <v>3.39</v>
      </c>
      <c r="I57" s="12">
        <v>0</v>
      </c>
    </row>
    <row r="58" spans="2:9" ht="15" customHeight="1" x14ac:dyDescent="0.2">
      <c r="B58" t="s">
        <v>161</v>
      </c>
      <c r="C58" s="12">
        <v>102</v>
      </c>
      <c r="D58" s="8">
        <v>1.9</v>
      </c>
      <c r="E58" s="12">
        <v>75</v>
      </c>
      <c r="F58" s="8">
        <v>2.71</v>
      </c>
      <c r="G58" s="12">
        <v>27</v>
      </c>
      <c r="H58" s="8">
        <v>1.05</v>
      </c>
      <c r="I58" s="12">
        <v>0</v>
      </c>
    </row>
    <row r="59" spans="2:9" ht="15" customHeight="1" x14ac:dyDescent="0.2">
      <c r="B59" t="s">
        <v>155</v>
      </c>
      <c r="C59" s="12">
        <v>96</v>
      </c>
      <c r="D59" s="8">
        <v>1.79</v>
      </c>
      <c r="E59" s="12">
        <v>10</v>
      </c>
      <c r="F59" s="8">
        <v>0.36</v>
      </c>
      <c r="G59" s="12">
        <v>86</v>
      </c>
      <c r="H59" s="8">
        <v>3.36</v>
      </c>
      <c r="I59" s="12">
        <v>0</v>
      </c>
    </row>
    <row r="60" spans="2:9" ht="15" customHeight="1" x14ac:dyDescent="0.2">
      <c r="B60" t="s">
        <v>163</v>
      </c>
      <c r="C60" s="12">
        <v>92</v>
      </c>
      <c r="D60" s="8">
        <v>1.71</v>
      </c>
      <c r="E60" s="12">
        <v>13</v>
      </c>
      <c r="F60" s="8">
        <v>0.47</v>
      </c>
      <c r="G60" s="12">
        <v>79</v>
      </c>
      <c r="H60" s="8">
        <v>3.08</v>
      </c>
      <c r="I60" s="12">
        <v>0</v>
      </c>
    </row>
    <row r="61" spans="2:9" ht="15" customHeight="1" x14ac:dyDescent="0.2">
      <c r="B61" t="s">
        <v>158</v>
      </c>
      <c r="C61" s="12">
        <v>91</v>
      </c>
      <c r="D61" s="8">
        <v>1.69</v>
      </c>
      <c r="E61" s="12">
        <v>68</v>
      </c>
      <c r="F61" s="8">
        <v>2.46</v>
      </c>
      <c r="G61" s="12">
        <v>23</v>
      </c>
      <c r="H61" s="8">
        <v>0.9</v>
      </c>
      <c r="I61" s="12">
        <v>0</v>
      </c>
    </row>
    <row r="62" spans="2:9" ht="15" customHeight="1" x14ac:dyDescent="0.2">
      <c r="B62" t="s">
        <v>171</v>
      </c>
      <c r="C62" s="12">
        <v>83</v>
      </c>
      <c r="D62" s="8">
        <v>1.54</v>
      </c>
      <c r="E62" s="12">
        <v>67</v>
      </c>
      <c r="F62" s="8">
        <v>2.42</v>
      </c>
      <c r="G62" s="12">
        <v>16</v>
      </c>
      <c r="H62" s="8">
        <v>0.62</v>
      </c>
      <c r="I62" s="12">
        <v>0</v>
      </c>
    </row>
    <row r="63" spans="2:9" ht="15" customHeight="1" x14ac:dyDescent="0.2">
      <c r="B63" t="s">
        <v>162</v>
      </c>
      <c r="C63" s="12">
        <v>79</v>
      </c>
      <c r="D63" s="8">
        <v>1.47</v>
      </c>
      <c r="E63" s="12">
        <v>18</v>
      </c>
      <c r="F63" s="8">
        <v>0.65</v>
      </c>
      <c r="G63" s="12">
        <v>61</v>
      </c>
      <c r="H63" s="8">
        <v>2.38</v>
      </c>
      <c r="I63" s="12">
        <v>0</v>
      </c>
    </row>
    <row r="64" spans="2:9" ht="15" customHeight="1" x14ac:dyDescent="0.2">
      <c r="B64" t="s">
        <v>173</v>
      </c>
      <c r="C64" s="12">
        <v>78</v>
      </c>
      <c r="D64" s="8">
        <v>1.45</v>
      </c>
      <c r="E64" s="12">
        <v>52</v>
      </c>
      <c r="F64" s="8">
        <v>1.88</v>
      </c>
      <c r="G64" s="12">
        <v>25</v>
      </c>
      <c r="H64" s="8">
        <v>0.98</v>
      </c>
      <c r="I64" s="12">
        <v>1</v>
      </c>
    </row>
    <row r="65" spans="2:9" ht="15" customHeight="1" x14ac:dyDescent="0.2">
      <c r="B65" t="s">
        <v>174</v>
      </c>
      <c r="C65" s="12">
        <v>67</v>
      </c>
      <c r="D65" s="8">
        <v>1.25</v>
      </c>
      <c r="E65" s="12">
        <v>12</v>
      </c>
      <c r="F65" s="8">
        <v>0.43</v>
      </c>
      <c r="G65" s="12">
        <v>55</v>
      </c>
      <c r="H65" s="8">
        <v>2.15</v>
      </c>
      <c r="I65" s="12">
        <v>0</v>
      </c>
    </row>
    <row r="66" spans="2:9" ht="15" customHeight="1" x14ac:dyDescent="0.2">
      <c r="B66" t="s">
        <v>186</v>
      </c>
      <c r="C66" s="12">
        <v>66</v>
      </c>
      <c r="D66" s="8">
        <v>1.23</v>
      </c>
      <c r="E66" s="12">
        <v>20</v>
      </c>
      <c r="F66" s="8">
        <v>0.72</v>
      </c>
      <c r="G66" s="12">
        <v>46</v>
      </c>
      <c r="H66" s="8">
        <v>1.79</v>
      </c>
      <c r="I66" s="12">
        <v>0</v>
      </c>
    </row>
    <row r="68" spans="2:9" ht="15" customHeight="1" x14ac:dyDescent="0.2">
      <c r="B68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F5681-5833-494D-848F-ACE6817885D0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297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3</v>
      </c>
      <c r="D5" s="8">
        <v>0.01</v>
      </c>
      <c r="E5" s="12">
        <v>0</v>
      </c>
      <c r="F5" s="8">
        <v>0</v>
      </c>
      <c r="G5" s="12">
        <v>3</v>
      </c>
      <c r="H5" s="8">
        <v>0.01</v>
      </c>
      <c r="I5" s="12">
        <v>0</v>
      </c>
    </row>
    <row r="6" spans="2:9" ht="15" customHeight="1" x14ac:dyDescent="0.2">
      <c r="B6" t="s">
        <v>76</v>
      </c>
      <c r="C6" s="12">
        <v>3986</v>
      </c>
      <c r="D6" s="8">
        <v>10.16</v>
      </c>
      <c r="E6" s="12">
        <v>525</v>
      </c>
      <c r="F6" s="8">
        <v>3.53</v>
      </c>
      <c r="G6" s="12">
        <v>3460</v>
      </c>
      <c r="H6" s="8">
        <v>14.39</v>
      </c>
      <c r="I6" s="12">
        <v>1</v>
      </c>
    </row>
    <row r="7" spans="2:9" ht="15" customHeight="1" x14ac:dyDescent="0.2">
      <c r="B7" t="s">
        <v>77</v>
      </c>
      <c r="C7" s="12">
        <v>1425</v>
      </c>
      <c r="D7" s="8">
        <v>3.63</v>
      </c>
      <c r="E7" s="12">
        <v>365</v>
      </c>
      <c r="F7" s="8">
        <v>2.4500000000000002</v>
      </c>
      <c r="G7" s="12">
        <v>1060</v>
      </c>
      <c r="H7" s="8">
        <v>4.41</v>
      </c>
      <c r="I7" s="12">
        <v>0</v>
      </c>
    </row>
    <row r="8" spans="2:9" ht="15" customHeight="1" x14ac:dyDescent="0.2">
      <c r="B8" t="s">
        <v>78</v>
      </c>
      <c r="C8" s="12">
        <v>47</v>
      </c>
      <c r="D8" s="8">
        <v>0.12</v>
      </c>
      <c r="E8" s="12">
        <v>0</v>
      </c>
      <c r="F8" s="8">
        <v>0</v>
      </c>
      <c r="G8" s="12">
        <v>43</v>
      </c>
      <c r="H8" s="8">
        <v>0.18</v>
      </c>
      <c r="I8" s="12">
        <v>0</v>
      </c>
    </row>
    <row r="9" spans="2:9" ht="15" customHeight="1" x14ac:dyDescent="0.2">
      <c r="B9" t="s">
        <v>79</v>
      </c>
      <c r="C9" s="12">
        <v>986</v>
      </c>
      <c r="D9" s="8">
        <v>2.5099999999999998</v>
      </c>
      <c r="E9" s="12">
        <v>50</v>
      </c>
      <c r="F9" s="8">
        <v>0.34</v>
      </c>
      <c r="G9" s="12">
        <v>934</v>
      </c>
      <c r="H9" s="8">
        <v>3.89</v>
      </c>
      <c r="I9" s="12">
        <v>2</v>
      </c>
    </row>
    <row r="10" spans="2:9" ht="15" customHeight="1" x14ac:dyDescent="0.2">
      <c r="B10" t="s">
        <v>80</v>
      </c>
      <c r="C10" s="12">
        <v>422</v>
      </c>
      <c r="D10" s="8">
        <v>1.08</v>
      </c>
      <c r="E10" s="12">
        <v>65</v>
      </c>
      <c r="F10" s="8">
        <v>0.44</v>
      </c>
      <c r="G10" s="12">
        <v>355</v>
      </c>
      <c r="H10" s="8">
        <v>1.48</v>
      </c>
      <c r="I10" s="12">
        <v>2</v>
      </c>
    </row>
    <row r="11" spans="2:9" ht="15" customHeight="1" x14ac:dyDescent="0.2">
      <c r="B11" t="s">
        <v>81</v>
      </c>
      <c r="C11" s="12">
        <v>9685</v>
      </c>
      <c r="D11" s="8">
        <v>24.68</v>
      </c>
      <c r="E11" s="12">
        <v>2671</v>
      </c>
      <c r="F11" s="8">
        <v>17.940000000000001</v>
      </c>
      <c r="G11" s="12">
        <v>7010</v>
      </c>
      <c r="H11" s="8">
        <v>29.16</v>
      </c>
      <c r="I11" s="12">
        <v>4</v>
      </c>
    </row>
    <row r="12" spans="2:9" ht="15" customHeight="1" x14ac:dyDescent="0.2">
      <c r="B12" t="s">
        <v>82</v>
      </c>
      <c r="C12" s="12">
        <v>352</v>
      </c>
      <c r="D12" s="8">
        <v>0.9</v>
      </c>
      <c r="E12" s="12">
        <v>27</v>
      </c>
      <c r="F12" s="8">
        <v>0.18</v>
      </c>
      <c r="G12" s="12">
        <v>323</v>
      </c>
      <c r="H12" s="8">
        <v>1.34</v>
      </c>
      <c r="I12" s="12">
        <v>2</v>
      </c>
    </row>
    <row r="13" spans="2:9" ht="15" customHeight="1" x14ac:dyDescent="0.2">
      <c r="B13" t="s">
        <v>83</v>
      </c>
      <c r="C13" s="12">
        <v>4654</v>
      </c>
      <c r="D13" s="8">
        <v>11.86</v>
      </c>
      <c r="E13" s="12">
        <v>853</v>
      </c>
      <c r="F13" s="8">
        <v>5.73</v>
      </c>
      <c r="G13" s="12">
        <v>3791</v>
      </c>
      <c r="H13" s="8">
        <v>15.77</v>
      </c>
      <c r="I13" s="12">
        <v>6</v>
      </c>
    </row>
    <row r="14" spans="2:9" ht="15" customHeight="1" x14ac:dyDescent="0.2">
      <c r="B14" t="s">
        <v>84</v>
      </c>
      <c r="C14" s="12">
        <v>3526</v>
      </c>
      <c r="D14" s="8">
        <v>8.99</v>
      </c>
      <c r="E14" s="12">
        <v>1391</v>
      </c>
      <c r="F14" s="8">
        <v>9.34</v>
      </c>
      <c r="G14" s="12">
        <v>2131</v>
      </c>
      <c r="H14" s="8">
        <v>8.86</v>
      </c>
      <c r="I14" s="12">
        <v>4</v>
      </c>
    </row>
    <row r="15" spans="2:9" ht="15" customHeight="1" x14ac:dyDescent="0.2">
      <c r="B15" t="s">
        <v>85</v>
      </c>
      <c r="C15" s="12">
        <v>5156</v>
      </c>
      <c r="D15" s="8">
        <v>13.14</v>
      </c>
      <c r="E15" s="12">
        <v>4062</v>
      </c>
      <c r="F15" s="8">
        <v>27.29</v>
      </c>
      <c r="G15" s="12">
        <v>1091</v>
      </c>
      <c r="H15" s="8">
        <v>4.54</v>
      </c>
      <c r="I15" s="12">
        <v>0</v>
      </c>
    </row>
    <row r="16" spans="2:9" ht="15" customHeight="1" x14ac:dyDescent="0.2">
      <c r="B16" t="s">
        <v>86</v>
      </c>
      <c r="C16" s="12">
        <v>4206</v>
      </c>
      <c r="D16" s="8">
        <v>10.72</v>
      </c>
      <c r="E16" s="12">
        <v>2776</v>
      </c>
      <c r="F16" s="8">
        <v>18.649999999999999</v>
      </c>
      <c r="G16" s="12">
        <v>1422</v>
      </c>
      <c r="H16" s="8">
        <v>5.92</v>
      </c>
      <c r="I16" s="12">
        <v>5</v>
      </c>
    </row>
    <row r="17" spans="2:9" ht="15" customHeight="1" x14ac:dyDescent="0.2">
      <c r="B17" t="s">
        <v>87</v>
      </c>
      <c r="C17" s="12">
        <v>1365</v>
      </c>
      <c r="D17" s="8">
        <v>3.48</v>
      </c>
      <c r="E17" s="12">
        <v>716</v>
      </c>
      <c r="F17" s="8">
        <v>4.8099999999999996</v>
      </c>
      <c r="G17" s="12">
        <v>492</v>
      </c>
      <c r="H17" s="8">
        <v>2.0499999999999998</v>
      </c>
      <c r="I17" s="12">
        <v>4</v>
      </c>
    </row>
    <row r="18" spans="2:9" ht="15" customHeight="1" x14ac:dyDescent="0.2">
      <c r="B18" t="s">
        <v>88</v>
      </c>
      <c r="C18" s="12">
        <v>1919</v>
      </c>
      <c r="D18" s="8">
        <v>4.8899999999999997</v>
      </c>
      <c r="E18" s="12">
        <v>1133</v>
      </c>
      <c r="F18" s="8">
        <v>7.61</v>
      </c>
      <c r="G18" s="12">
        <v>711</v>
      </c>
      <c r="H18" s="8">
        <v>2.96</v>
      </c>
      <c r="I18" s="12">
        <v>3</v>
      </c>
    </row>
    <row r="19" spans="2:9" ht="15" customHeight="1" x14ac:dyDescent="0.2">
      <c r="B19" t="s">
        <v>89</v>
      </c>
      <c r="C19" s="12">
        <v>1503</v>
      </c>
      <c r="D19" s="8">
        <v>3.83</v>
      </c>
      <c r="E19" s="12">
        <v>251</v>
      </c>
      <c r="F19" s="8">
        <v>1.69</v>
      </c>
      <c r="G19" s="12">
        <v>1214</v>
      </c>
      <c r="H19" s="8">
        <v>5.05</v>
      </c>
      <c r="I19" s="12">
        <v>16</v>
      </c>
    </row>
    <row r="20" spans="2:9" ht="15" customHeight="1" x14ac:dyDescent="0.2">
      <c r="B20" s="9" t="s">
        <v>285</v>
      </c>
      <c r="C20" s="12">
        <f>SUM(LTBL_40130[総数／事業所数])</f>
        <v>39235</v>
      </c>
      <c r="E20" s="12">
        <f>SUBTOTAL(109,LTBL_40130[個人／事業所数])</f>
        <v>14885</v>
      </c>
      <c r="G20" s="12">
        <f>SUBTOTAL(109,LTBL_40130[法人／事業所数])</f>
        <v>24040</v>
      </c>
      <c r="I20" s="12">
        <f>SUBTOTAL(109,LTBL_40130[法人以外の団体／事業所数])</f>
        <v>49</v>
      </c>
    </row>
    <row r="21" spans="2:9" ht="15" customHeight="1" x14ac:dyDescent="0.2">
      <c r="E21" s="11">
        <f>LTBL_40130[[#Totals],[個人／事業所数]]/LTBL_40130[[#Totals],[総数／事業所数]]</f>
        <v>0.37938065502739898</v>
      </c>
      <c r="G21" s="11">
        <f>LTBL_40130[[#Totals],[法人／事業所数]]/LTBL_40130[[#Totals],[総数／事業所数]]</f>
        <v>0.61271823626863775</v>
      </c>
      <c r="I21" s="11">
        <f>LTBL_40130[[#Totals],[法人以外の団体／事業所数]]/LTBL_40130[[#Totals],[総数／事業所数]]</f>
        <v>1.2488849241748439E-3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112</v>
      </c>
      <c r="C24" s="12">
        <v>4833</v>
      </c>
      <c r="D24" s="8">
        <v>12.32</v>
      </c>
      <c r="E24" s="12">
        <v>3969</v>
      </c>
      <c r="F24" s="8">
        <v>26.66</v>
      </c>
      <c r="G24" s="12">
        <v>864</v>
      </c>
      <c r="H24" s="8">
        <v>3.59</v>
      </c>
      <c r="I24" s="12">
        <v>0</v>
      </c>
    </row>
    <row r="25" spans="2:9" ht="15" customHeight="1" x14ac:dyDescent="0.2">
      <c r="B25" t="s">
        <v>109</v>
      </c>
      <c r="C25" s="12">
        <v>3400</v>
      </c>
      <c r="D25" s="8">
        <v>8.67</v>
      </c>
      <c r="E25" s="12">
        <v>708</v>
      </c>
      <c r="F25" s="8">
        <v>4.76</v>
      </c>
      <c r="G25" s="12">
        <v>2682</v>
      </c>
      <c r="H25" s="8">
        <v>11.16</v>
      </c>
      <c r="I25" s="12">
        <v>6</v>
      </c>
    </row>
    <row r="26" spans="2:9" ht="15" customHeight="1" x14ac:dyDescent="0.2">
      <c r="B26" t="s">
        <v>113</v>
      </c>
      <c r="C26" s="12">
        <v>3320</v>
      </c>
      <c r="D26" s="8">
        <v>8.4600000000000009</v>
      </c>
      <c r="E26" s="12">
        <v>2468</v>
      </c>
      <c r="F26" s="8">
        <v>16.579999999999998</v>
      </c>
      <c r="G26" s="12">
        <v>852</v>
      </c>
      <c r="H26" s="8">
        <v>3.54</v>
      </c>
      <c r="I26" s="12">
        <v>0</v>
      </c>
    </row>
    <row r="27" spans="2:9" ht="15" customHeight="1" x14ac:dyDescent="0.2">
      <c r="B27" t="s">
        <v>110</v>
      </c>
      <c r="C27" s="12">
        <v>2189</v>
      </c>
      <c r="D27" s="8">
        <v>5.58</v>
      </c>
      <c r="E27" s="12">
        <v>1115</v>
      </c>
      <c r="F27" s="8">
        <v>7.49</v>
      </c>
      <c r="G27" s="12">
        <v>1071</v>
      </c>
      <c r="H27" s="8">
        <v>4.46</v>
      </c>
      <c r="I27" s="12">
        <v>3</v>
      </c>
    </row>
    <row r="28" spans="2:9" ht="15" customHeight="1" x14ac:dyDescent="0.2">
      <c r="B28" t="s">
        <v>107</v>
      </c>
      <c r="C28" s="12">
        <v>1999</v>
      </c>
      <c r="D28" s="8">
        <v>5.09</v>
      </c>
      <c r="E28" s="12">
        <v>806</v>
      </c>
      <c r="F28" s="8">
        <v>5.41</v>
      </c>
      <c r="G28" s="12">
        <v>1193</v>
      </c>
      <c r="H28" s="8">
        <v>4.96</v>
      </c>
      <c r="I28" s="12">
        <v>0</v>
      </c>
    </row>
    <row r="29" spans="2:9" ht="15" customHeight="1" x14ac:dyDescent="0.2">
      <c r="B29" t="s">
        <v>98</v>
      </c>
      <c r="C29" s="12">
        <v>1581</v>
      </c>
      <c r="D29" s="8">
        <v>4.03</v>
      </c>
      <c r="E29" s="12">
        <v>152</v>
      </c>
      <c r="F29" s="8">
        <v>1.02</v>
      </c>
      <c r="G29" s="12">
        <v>1429</v>
      </c>
      <c r="H29" s="8">
        <v>5.94</v>
      </c>
      <c r="I29" s="12">
        <v>0</v>
      </c>
    </row>
    <row r="30" spans="2:9" ht="15" customHeight="1" x14ac:dyDescent="0.2">
      <c r="B30" t="s">
        <v>105</v>
      </c>
      <c r="C30" s="12">
        <v>1395</v>
      </c>
      <c r="D30" s="8">
        <v>3.56</v>
      </c>
      <c r="E30" s="12">
        <v>861</v>
      </c>
      <c r="F30" s="8">
        <v>5.78</v>
      </c>
      <c r="G30" s="12">
        <v>533</v>
      </c>
      <c r="H30" s="8">
        <v>2.2200000000000002</v>
      </c>
      <c r="I30" s="12">
        <v>1</v>
      </c>
    </row>
    <row r="31" spans="2:9" ht="15" customHeight="1" x14ac:dyDescent="0.2">
      <c r="B31" t="s">
        <v>114</v>
      </c>
      <c r="C31" s="12">
        <v>1365</v>
      </c>
      <c r="D31" s="8">
        <v>3.48</v>
      </c>
      <c r="E31" s="12">
        <v>716</v>
      </c>
      <c r="F31" s="8">
        <v>4.8099999999999996</v>
      </c>
      <c r="G31" s="12">
        <v>492</v>
      </c>
      <c r="H31" s="8">
        <v>2.0499999999999998</v>
      </c>
      <c r="I31" s="12">
        <v>4</v>
      </c>
    </row>
    <row r="32" spans="2:9" ht="15" customHeight="1" x14ac:dyDescent="0.2">
      <c r="B32" t="s">
        <v>115</v>
      </c>
      <c r="C32" s="12">
        <v>1350</v>
      </c>
      <c r="D32" s="8">
        <v>3.44</v>
      </c>
      <c r="E32" s="12">
        <v>1119</v>
      </c>
      <c r="F32" s="8">
        <v>7.52</v>
      </c>
      <c r="G32" s="12">
        <v>231</v>
      </c>
      <c r="H32" s="8">
        <v>0.96</v>
      </c>
      <c r="I32" s="12">
        <v>0</v>
      </c>
    </row>
    <row r="33" spans="2:9" ht="15" customHeight="1" x14ac:dyDescent="0.2">
      <c r="B33" t="s">
        <v>99</v>
      </c>
      <c r="C33" s="12">
        <v>1260</v>
      </c>
      <c r="D33" s="8">
        <v>3.21</v>
      </c>
      <c r="E33" s="12">
        <v>216</v>
      </c>
      <c r="F33" s="8">
        <v>1.45</v>
      </c>
      <c r="G33" s="12">
        <v>1044</v>
      </c>
      <c r="H33" s="8">
        <v>4.34</v>
      </c>
      <c r="I33" s="12">
        <v>0</v>
      </c>
    </row>
    <row r="34" spans="2:9" ht="15" customHeight="1" x14ac:dyDescent="0.2">
      <c r="B34" t="s">
        <v>102</v>
      </c>
      <c r="C34" s="12">
        <v>1224</v>
      </c>
      <c r="D34" s="8">
        <v>3.12</v>
      </c>
      <c r="E34" s="12">
        <v>42</v>
      </c>
      <c r="F34" s="8">
        <v>0.28000000000000003</v>
      </c>
      <c r="G34" s="12">
        <v>1182</v>
      </c>
      <c r="H34" s="8">
        <v>4.92</v>
      </c>
      <c r="I34" s="12">
        <v>0</v>
      </c>
    </row>
    <row r="35" spans="2:9" ht="15" customHeight="1" x14ac:dyDescent="0.2">
      <c r="B35" t="s">
        <v>104</v>
      </c>
      <c r="C35" s="12">
        <v>1184</v>
      </c>
      <c r="D35" s="8">
        <v>3.02</v>
      </c>
      <c r="E35" s="12">
        <v>361</v>
      </c>
      <c r="F35" s="8">
        <v>2.4300000000000002</v>
      </c>
      <c r="G35" s="12">
        <v>823</v>
      </c>
      <c r="H35" s="8">
        <v>3.42</v>
      </c>
      <c r="I35" s="12">
        <v>0</v>
      </c>
    </row>
    <row r="36" spans="2:9" ht="15" customHeight="1" x14ac:dyDescent="0.2">
      <c r="B36" t="s">
        <v>100</v>
      </c>
      <c r="C36" s="12">
        <v>1145</v>
      </c>
      <c r="D36" s="8">
        <v>2.92</v>
      </c>
      <c r="E36" s="12">
        <v>157</v>
      </c>
      <c r="F36" s="8">
        <v>1.05</v>
      </c>
      <c r="G36" s="12">
        <v>987</v>
      </c>
      <c r="H36" s="8">
        <v>4.1100000000000003</v>
      </c>
      <c r="I36" s="12">
        <v>1</v>
      </c>
    </row>
    <row r="37" spans="2:9" ht="15" customHeight="1" x14ac:dyDescent="0.2">
      <c r="B37" t="s">
        <v>111</v>
      </c>
      <c r="C37" s="12">
        <v>1056</v>
      </c>
      <c r="D37" s="8">
        <v>2.69</v>
      </c>
      <c r="E37" s="12">
        <v>260</v>
      </c>
      <c r="F37" s="8">
        <v>1.75</v>
      </c>
      <c r="G37" s="12">
        <v>795</v>
      </c>
      <c r="H37" s="8">
        <v>3.31</v>
      </c>
      <c r="I37" s="12">
        <v>1</v>
      </c>
    </row>
    <row r="38" spans="2:9" ht="15" customHeight="1" x14ac:dyDescent="0.2">
      <c r="B38" t="s">
        <v>108</v>
      </c>
      <c r="C38" s="12">
        <v>1039</v>
      </c>
      <c r="D38" s="8">
        <v>2.65</v>
      </c>
      <c r="E38" s="12">
        <v>133</v>
      </c>
      <c r="F38" s="8">
        <v>0.89</v>
      </c>
      <c r="G38" s="12">
        <v>906</v>
      </c>
      <c r="H38" s="8">
        <v>3.77</v>
      </c>
      <c r="I38" s="12">
        <v>0</v>
      </c>
    </row>
    <row r="39" spans="2:9" ht="15" customHeight="1" x14ac:dyDescent="0.2">
      <c r="B39" t="s">
        <v>103</v>
      </c>
      <c r="C39" s="12">
        <v>958</v>
      </c>
      <c r="D39" s="8">
        <v>2.44</v>
      </c>
      <c r="E39" s="12">
        <v>61</v>
      </c>
      <c r="F39" s="8">
        <v>0.41</v>
      </c>
      <c r="G39" s="12">
        <v>896</v>
      </c>
      <c r="H39" s="8">
        <v>3.73</v>
      </c>
      <c r="I39" s="12">
        <v>1</v>
      </c>
    </row>
    <row r="40" spans="2:9" ht="15" customHeight="1" x14ac:dyDescent="0.2">
      <c r="B40" t="s">
        <v>117</v>
      </c>
      <c r="C40" s="12">
        <v>863</v>
      </c>
      <c r="D40" s="8">
        <v>2.2000000000000002</v>
      </c>
      <c r="E40" s="12">
        <v>51</v>
      </c>
      <c r="F40" s="8">
        <v>0.34</v>
      </c>
      <c r="G40" s="12">
        <v>797</v>
      </c>
      <c r="H40" s="8">
        <v>3.32</v>
      </c>
      <c r="I40" s="12">
        <v>13</v>
      </c>
    </row>
    <row r="41" spans="2:9" ht="15" customHeight="1" x14ac:dyDescent="0.2">
      <c r="B41" t="s">
        <v>101</v>
      </c>
      <c r="C41" s="12">
        <v>759</v>
      </c>
      <c r="D41" s="8">
        <v>1.93</v>
      </c>
      <c r="E41" s="12">
        <v>34</v>
      </c>
      <c r="F41" s="8">
        <v>0.23</v>
      </c>
      <c r="G41" s="12">
        <v>724</v>
      </c>
      <c r="H41" s="8">
        <v>3.01</v>
      </c>
      <c r="I41" s="12">
        <v>1</v>
      </c>
    </row>
    <row r="42" spans="2:9" ht="15" customHeight="1" x14ac:dyDescent="0.2">
      <c r="B42" t="s">
        <v>106</v>
      </c>
      <c r="C42" s="12">
        <v>690</v>
      </c>
      <c r="D42" s="8">
        <v>1.76</v>
      </c>
      <c r="E42" s="12">
        <v>381</v>
      </c>
      <c r="F42" s="8">
        <v>2.56</v>
      </c>
      <c r="G42" s="12">
        <v>309</v>
      </c>
      <c r="H42" s="8">
        <v>1.29</v>
      </c>
      <c r="I42" s="12">
        <v>0</v>
      </c>
    </row>
    <row r="43" spans="2:9" ht="15" customHeight="1" x14ac:dyDescent="0.2">
      <c r="B43" t="s">
        <v>124</v>
      </c>
      <c r="C43" s="12">
        <v>646</v>
      </c>
      <c r="D43" s="8">
        <v>1.65</v>
      </c>
      <c r="E43" s="12">
        <v>60</v>
      </c>
      <c r="F43" s="8">
        <v>0.4</v>
      </c>
      <c r="G43" s="12">
        <v>586</v>
      </c>
      <c r="H43" s="8">
        <v>2.44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164</v>
      </c>
      <c r="C47" s="12">
        <v>1794</v>
      </c>
      <c r="D47" s="8">
        <v>4.57</v>
      </c>
      <c r="E47" s="12">
        <v>481</v>
      </c>
      <c r="F47" s="8">
        <v>3.23</v>
      </c>
      <c r="G47" s="12">
        <v>1309</v>
      </c>
      <c r="H47" s="8">
        <v>5.45</v>
      </c>
      <c r="I47" s="12">
        <v>0</v>
      </c>
    </row>
    <row r="48" spans="2:9" ht="15" customHeight="1" x14ac:dyDescent="0.2">
      <c r="B48" t="s">
        <v>170</v>
      </c>
      <c r="C48" s="12">
        <v>1684</v>
      </c>
      <c r="D48" s="8">
        <v>4.29</v>
      </c>
      <c r="E48" s="12">
        <v>1380</v>
      </c>
      <c r="F48" s="8">
        <v>9.27</v>
      </c>
      <c r="G48" s="12">
        <v>304</v>
      </c>
      <c r="H48" s="8">
        <v>1.26</v>
      </c>
      <c r="I48" s="12">
        <v>0</v>
      </c>
    </row>
    <row r="49" spans="2:9" ht="15" customHeight="1" x14ac:dyDescent="0.2">
      <c r="B49" t="s">
        <v>168</v>
      </c>
      <c r="C49" s="12">
        <v>1302</v>
      </c>
      <c r="D49" s="8">
        <v>3.32</v>
      </c>
      <c r="E49" s="12">
        <v>1132</v>
      </c>
      <c r="F49" s="8">
        <v>7.6</v>
      </c>
      <c r="G49" s="12">
        <v>170</v>
      </c>
      <c r="H49" s="8">
        <v>0.71</v>
      </c>
      <c r="I49" s="12">
        <v>0</v>
      </c>
    </row>
    <row r="50" spans="2:9" ht="15" customHeight="1" x14ac:dyDescent="0.2">
      <c r="B50" t="s">
        <v>167</v>
      </c>
      <c r="C50" s="12">
        <v>1255</v>
      </c>
      <c r="D50" s="8">
        <v>3.2</v>
      </c>
      <c r="E50" s="12">
        <v>1082</v>
      </c>
      <c r="F50" s="8">
        <v>7.27</v>
      </c>
      <c r="G50" s="12">
        <v>173</v>
      </c>
      <c r="H50" s="8">
        <v>0.72</v>
      </c>
      <c r="I50" s="12">
        <v>0</v>
      </c>
    </row>
    <row r="51" spans="2:9" ht="15" customHeight="1" x14ac:dyDescent="0.2">
      <c r="B51" t="s">
        <v>166</v>
      </c>
      <c r="C51" s="12">
        <v>1213</v>
      </c>
      <c r="D51" s="8">
        <v>3.09</v>
      </c>
      <c r="E51" s="12">
        <v>928</v>
      </c>
      <c r="F51" s="8">
        <v>6.23</v>
      </c>
      <c r="G51" s="12">
        <v>285</v>
      </c>
      <c r="H51" s="8">
        <v>1.19</v>
      </c>
      <c r="I51" s="12">
        <v>0</v>
      </c>
    </row>
    <row r="52" spans="2:9" ht="15" customHeight="1" x14ac:dyDescent="0.2">
      <c r="B52" t="s">
        <v>172</v>
      </c>
      <c r="C52" s="12">
        <v>900</v>
      </c>
      <c r="D52" s="8">
        <v>2.29</v>
      </c>
      <c r="E52" s="12">
        <v>744</v>
      </c>
      <c r="F52" s="8">
        <v>5</v>
      </c>
      <c r="G52" s="12">
        <v>156</v>
      </c>
      <c r="H52" s="8">
        <v>0.65</v>
      </c>
      <c r="I52" s="12">
        <v>0</v>
      </c>
    </row>
    <row r="53" spans="2:9" ht="15" customHeight="1" x14ac:dyDescent="0.2">
      <c r="B53" t="s">
        <v>163</v>
      </c>
      <c r="C53" s="12">
        <v>845</v>
      </c>
      <c r="D53" s="8">
        <v>2.15</v>
      </c>
      <c r="E53" s="12">
        <v>99</v>
      </c>
      <c r="F53" s="8">
        <v>0.67</v>
      </c>
      <c r="G53" s="12">
        <v>744</v>
      </c>
      <c r="H53" s="8">
        <v>3.09</v>
      </c>
      <c r="I53" s="12">
        <v>2</v>
      </c>
    </row>
    <row r="54" spans="2:9" ht="15" customHeight="1" x14ac:dyDescent="0.2">
      <c r="B54" t="s">
        <v>165</v>
      </c>
      <c r="C54" s="12">
        <v>799</v>
      </c>
      <c r="D54" s="8">
        <v>2.04</v>
      </c>
      <c r="E54" s="12">
        <v>177</v>
      </c>
      <c r="F54" s="8">
        <v>1.19</v>
      </c>
      <c r="G54" s="12">
        <v>622</v>
      </c>
      <c r="H54" s="8">
        <v>2.59</v>
      </c>
      <c r="I54" s="12">
        <v>0</v>
      </c>
    </row>
    <row r="55" spans="2:9" ht="15" customHeight="1" x14ac:dyDescent="0.2">
      <c r="B55" t="s">
        <v>171</v>
      </c>
      <c r="C55" s="12">
        <v>788</v>
      </c>
      <c r="D55" s="8">
        <v>2.0099999999999998</v>
      </c>
      <c r="E55" s="12">
        <v>541</v>
      </c>
      <c r="F55" s="8">
        <v>3.63</v>
      </c>
      <c r="G55" s="12">
        <v>246</v>
      </c>
      <c r="H55" s="8">
        <v>1.02</v>
      </c>
      <c r="I55" s="12">
        <v>1</v>
      </c>
    </row>
    <row r="56" spans="2:9" ht="15" customHeight="1" x14ac:dyDescent="0.2">
      <c r="B56" t="s">
        <v>162</v>
      </c>
      <c r="C56" s="12">
        <v>787</v>
      </c>
      <c r="D56" s="8">
        <v>2.0099999999999998</v>
      </c>
      <c r="E56" s="12">
        <v>113</v>
      </c>
      <c r="F56" s="8">
        <v>0.76</v>
      </c>
      <c r="G56" s="12">
        <v>674</v>
      </c>
      <c r="H56" s="8">
        <v>2.8</v>
      </c>
      <c r="I56" s="12">
        <v>0</v>
      </c>
    </row>
    <row r="57" spans="2:9" ht="15" customHeight="1" x14ac:dyDescent="0.2">
      <c r="B57" t="s">
        <v>169</v>
      </c>
      <c r="C57" s="12">
        <v>689</v>
      </c>
      <c r="D57" s="8">
        <v>1.76</v>
      </c>
      <c r="E57" s="12">
        <v>650</v>
      </c>
      <c r="F57" s="8">
        <v>4.37</v>
      </c>
      <c r="G57" s="12">
        <v>39</v>
      </c>
      <c r="H57" s="8">
        <v>0.16</v>
      </c>
      <c r="I57" s="12">
        <v>0</v>
      </c>
    </row>
    <row r="58" spans="2:9" ht="15" customHeight="1" x14ac:dyDescent="0.2">
      <c r="B58" t="s">
        <v>161</v>
      </c>
      <c r="C58" s="12">
        <v>611</v>
      </c>
      <c r="D58" s="8">
        <v>1.56</v>
      </c>
      <c r="E58" s="12">
        <v>345</v>
      </c>
      <c r="F58" s="8">
        <v>2.3199999999999998</v>
      </c>
      <c r="G58" s="12">
        <v>266</v>
      </c>
      <c r="H58" s="8">
        <v>1.1100000000000001</v>
      </c>
      <c r="I58" s="12">
        <v>0</v>
      </c>
    </row>
    <row r="59" spans="2:9" ht="15" customHeight="1" x14ac:dyDescent="0.2">
      <c r="B59" t="s">
        <v>160</v>
      </c>
      <c r="C59" s="12">
        <v>586</v>
      </c>
      <c r="D59" s="8">
        <v>1.49</v>
      </c>
      <c r="E59" s="12">
        <v>144</v>
      </c>
      <c r="F59" s="8">
        <v>0.97</v>
      </c>
      <c r="G59" s="12">
        <v>442</v>
      </c>
      <c r="H59" s="8">
        <v>1.84</v>
      </c>
      <c r="I59" s="12">
        <v>0</v>
      </c>
    </row>
    <row r="60" spans="2:9" ht="15" customHeight="1" x14ac:dyDescent="0.2">
      <c r="B60" t="s">
        <v>190</v>
      </c>
      <c r="C60" s="12">
        <v>557</v>
      </c>
      <c r="D60" s="8">
        <v>1.42</v>
      </c>
      <c r="E60" s="12">
        <v>33</v>
      </c>
      <c r="F60" s="8">
        <v>0.22</v>
      </c>
      <c r="G60" s="12">
        <v>510</v>
      </c>
      <c r="H60" s="8">
        <v>2.12</v>
      </c>
      <c r="I60" s="12">
        <v>12</v>
      </c>
    </row>
    <row r="61" spans="2:9" ht="15" customHeight="1" x14ac:dyDescent="0.2">
      <c r="B61" t="s">
        <v>157</v>
      </c>
      <c r="C61" s="12">
        <v>551</v>
      </c>
      <c r="D61" s="8">
        <v>1.4</v>
      </c>
      <c r="E61" s="12">
        <v>200</v>
      </c>
      <c r="F61" s="8">
        <v>1.34</v>
      </c>
      <c r="G61" s="12">
        <v>351</v>
      </c>
      <c r="H61" s="8">
        <v>1.46</v>
      </c>
      <c r="I61" s="12">
        <v>0</v>
      </c>
    </row>
    <row r="62" spans="2:9" ht="15" customHeight="1" x14ac:dyDescent="0.2">
      <c r="B62" t="s">
        <v>185</v>
      </c>
      <c r="C62" s="12">
        <v>544</v>
      </c>
      <c r="D62" s="8">
        <v>1.39</v>
      </c>
      <c r="E62" s="12">
        <v>34</v>
      </c>
      <c r="F62" s="8">
        <v>0.23</v>
      </c>
      <c r="G62" s="12">
        <v>509</v>
      </c>
      <c r="H62" s="8">
        <v>2.12</v>
      </c>
      <c r="I62" s="12">
        <v>1</v>
      </c>
    </row>
    <row r="63" spans="2:9" ht="15" customHeight="1" x14ac:dyDescent="0.2">
      <c r="B63" t="s">
        <v>188</v>
      </c>
      <c r="C63" s="12">
        <v>536</v>
      </c>
      <c r="D63" s="8">
        <v>1.37</v>
      </c>
      <c r="E63" s="12">
        <v>38</v>
      </c>
      <c r="F63" s="8">
        <v>0.26</v>
      </c>
      <c r="G63" s="12">
        <v>494</v>
      </c>
      <c r="H63" s="8">
        <v>2.0499999999999998</v>
      </c>
      <c r="I63" s="12">
        <v>4</v>
      </c>
    </row>
    <row r="64" spans="2:9" ht="15" customHeight="1" x14ac:dyDescent="0.2">
      <c r="B64" t="s">
        <v>158</v>
      </c>
      <c r="C64" s="12">
        <v>523</v>
      </c>
      <c r="D64" s="8">
        <v>1.33</v>
      </c>
      <c r="E64" s="12">
        <v>296</v>
      </c>
      <c r="F64" s="8">
        <v>1.99</v>
      </c>
      <c r="G64" s="12">
        <v>226</v>
      </c>
      <c r="H64" s="8">
        <v>0.94</v>
      </c>
      <c r="I64" s="12">
        <v>1</v>
      </c>
    </row>
    <row r="65" spans="2:9" ht="15" customHeight="1" x14ac:dyDescent="0.2">
      <c r="B65" t="s">
        <v>155</v>
      </c>
      <c r="C65" s="12">
        <v>494</v>
      </c>
      <c r="D65" s="8">
        <v>1.26</v>
      </c>
      <c r="E65" s="12">
        <v>30</v>
      </c>
      <c r="F65" s="8">
        <v>0.2</v>
      </c>
      <c r="G65" s="12">
        <v>464</v>
      </c>
      <c r="H65" s="8">
        <v>1.93</v>
      </c>
      <c r="I65" s="12">
        <v>0</v>
      </c>
    </row>
    <row r="66" spans="2:9" ht="15" customHeight="1" x14ac:dyDescent="0.2">
      <c r="B66" t="s">
        <v>189</v>
      </c>
      <c r="C66" s="12">
        <v>482</v>
      </c>
      <c r="D66" s="8">
        <v>1.23</v>
      </c>
      <c r="E66" s="12">
        <v>32</v>
      </c>
      <c r="F66" s="8">
        <v>0.21</v>
      </c>
      <c r="G66" s="12">
        <v>448</v>
      </c>
      <c r="H66" s="8">
        <v>1.86</v>
      </c>
      <c r="I66" s="12">
        <v>2</v>
      </c>
    </row>
    <row r="68" spans="2:9" ht="15" customHeight="1" x14ac:dyDescent="0.2">
      <c r="B68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22FB2-05D1-48FB-B9FE-6B340D87A9EE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298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2</v>
      </c>
      <c r="D5" s="8">
        <v>0.04</v>
      </c>
      <c r="E5" s="12">
        <v>0</v>
      </c>
      <c r="F5" s="8">
        <v>0</v>
      </c>
      <c r="G5" s="12">
        <v>2</v>
      </c>
      <c r="H5" s="8">
        <v>7.0000000000000007E-2</v>
      </c>
      <c r="I5" s="12">
        <v>0</v>
      </c>
    </row>
    <row r="6" spans="2:9" ht="15" customHeight="1" x14ac:dyDescent="0.2">
      <c r="B6" t="s">
        <v>76</v>
      </c>
      <c r="C6" s="12">
        <v>530</v>
      </c>
      <c r="D6" s="8">
        <v>11.33</v>
      </c>
      <c r="E6" s="12">
        <v>75</v>
      </c>
      <c r="F6" s="8">
        <v>4.41</v>
      </c>
      <c r="G6" s="12">
        <v>455</v>
      </c>
      <c r="H6" s="8">
        <v>15.55</v>
      </c>
      <c r="I6" s="12">
        <v>0</v>
      </c>
    </row>
    <row r="7" spans="2:9" ht="15" customHeight="1" x14ac:dyDescent="0.2">
      <c r="B7" t="s">
        <v>77</v>
      </c>
      <c r="C7" s="12">
        <v>237</v>
      </c>
      <c r="D7" s="8">
        <v>5.07</v>
      </c>
      <c r="E7" s="12">
        <v>43</v>
      </c>
      <c r="F7" s="8">
        <v>2.5299999999999998</v>
      </c>
      <c r="G7" s="12">
        <v>194</v>
      </c>
      <c r="H7" s="8">
        <v>6.63</v>
      </c>
      <c r="I7" s="12">
        <v>0</v>
      </c>
    </row>
    <row r="8" spans="2:9" ht="15" customHeight="1" x14ac:dyDescent="0.2">
      <c r="B8" t="s">
        <v>78</v>
      </c>
      <c r="C8" s="12">
        <v>4</v>
      </c>
      <c r="D8" s="8">
        <v>0.09</v>
      </c>
      <c r="E8" s="12">
        <v>0</v>
      </c>
      <c r="F8" s="8">
        <v>0</v>
      </c>
      <c r="G8" s="12">
        <v>3</v>
      </c>
      <c r="H8" s="8">
        <v>0.1</v>
      </c>
      <c r="I8" s="12">
        <v>0</v>
      </c>
    </row>
    <row r="9" spans="2:9" ht="15" customHeight="1" x14ac:dyDescent="0.2">
      <c r="B9" t="s">
        <v>79</v>
      </c>
      <c r="C9" s="12">
        <v>58</v>
      </c>
      <c r="D9" s="8">
        <v>1.24</v>
      </c>
      <c r="E9" s="12">
        <v>4</v>
      </c>
      <c r="F9" s="8">
        <v>0.24</v>
      </c>
      <c r="G9" s="12">
        <v>53</v>
      </c>
      <c r="H9" s="8">
        <v>1.81</v>
      </c>
      <c r="I9" s="12">
        <v>1</v>
      </c>
    </row>
    <row r="10" spans="2:9" ht="15" customHeight="1" x14ac:dyDescent="0.2">
      <c r="B10" t="s">
        <v>80</v>
      </c>
      <c r="C10" s="12">
        <v>112</v>
      </c>
      <c r="D10" s="8">
        <v>2.39</v>
      </c>
      <c r="E10" s="12">
        <v>4</v>
      </c>
      <c r="F10" s="8">
        <v>0.24</v>
      </c>
      <c r="G10" s="12">
        <v>108</v>
      </c>
      <c r="H10" s="8">
        <v>3.69</v>
      </c>
      <c r="I10" s="12">
        <v>0</v>
      </c>
    </row>
    <row r="11" spans="2:9" ht="15" customHeight="1" x14ac:dyDescent="0.2">
      <c r="B11" t="s">
        <v>81</v>
      </c>
      <c r="C11" s="12">
        <v>1261</v>
      </c>
      <c r="D11" s="8">
        <v>26.96</v>
      </c>
      <c r="E11" s="12">
        <v>382</v>
      </c>
      <c r="F11" s="8">
        <v>22.47</v>
      </c>
      <c r="G11" s="12">
        <v>879</v>
      </c>
      <c r="H11" s="8">
        <v>30.04</v>
      </c>
      <c r="I11" s="12">
        <v>0</v>
      </c>
    </row>
    <row r="12" spans="2:9" ht="15" customHeight="1" x14ac:dyDescent="0.2">
      <c r="B12" t="s">
        <v>82</v>
      </c>
      <c r="C12" s="12">
        <v>37</v>
      </c>
      <c r="D12" s="8">
        <v>0.79</v>
      </c>
      <c r="E12" s="12">
        <v>3</v>
      </c>
      <c r="F12" s="8">
        <v>0.18</v>
      </c>
      <c r="G12" s="12">
        <v>34</v>
      </c>
      <c r="H12" s="8">
        <v>1.1599999999999999</v>
      </c>
      <c r="I12" s="12">
        <v>0</v>
      </c>
    </row>
    <row r="13" spans="2:9" ht="15" customHeight="1" x14ac:dyDescent="0.2">
      <c r="B13" t="s">
        <v>83</v>
      </c>
      <c r="C13" s="12">
        <v>579</v>
      </c>
      <c r="D13" s="8">
        <v>12.38</v>
      </c>
      <c r="E13" s="12">
        <v>106</v>
      </c>
      <c r="F13" s="8">
        <v>6.24</v>
      </c>
      <c r="G13" s="12">
        <v>472</v>
      </c>
      <c r="H13" s="8">
        <v>16.13</v>
      </c>
      <c r="I13" s="12">
        <v>0</v>
      </c>
    </row>
    <row r="14" spans="2:9" ht="15" customHeight="1" x14ac:dyDescent="0.2">
      <c r="B14" t="s">
        <v>84</v>
      </c>
      <c r="C14" s="12">
        <v>212</v>
      </c>
      <c r="D14" s="8">
        <v>4.53</v>
      </c>
      <c r="E14" s="12">
        <v>72</v>
      </c>
      <c r="F14" s="8">
        <v>4.24</v>
      </c>
      <c r="G14" s="12">
        <v>140</v>
      </c>
      <c r="H14" s="8">
        <v>4.78</v>
      </c>
      <c r="I14" s="12">
        <v>0</v>
      </c>
    </row>
    <row r="15" spans="2:9" ht="15" customHeight="1" x14ac:dyDescent="0.2">
      <c r="B15" t="s">
        <v>85</v>
      </c>
      <c r="C15" s="12">
        <v>472</v>
      </c>
      <c r="D15" s="8">
        <v>10.09</v>
      </c>
      <c r="E15" s="12">
        <v>377</v>
      </c>
      <c r="F15" s="8">
        <v>22.18</v>
      </c>
      <c r="G15" s="12">
        <v>94</v>
      </c>
      <c r="H15" s="8">
        <v>3.21</v>
      </c>
      <c r="I15" s="12">
        <v>0</v>
      </c>
    </row>
    <row r="16" spans="2:9" ht="15" customHeight="1" x14ac:dyDescent="0.2">
      <c r="B16" t="s">
        <v>86</v>
      </c>
      <c r="C16" s="12">
        <v>539</v>
      </c>
      <c r="D16" s="8">
        <v>11.52</v>
      </c>
      <c r="E16" s="12">
        <v>363</v>
      </c>
      <c r="F16" s="8">
        <v>21.35</v>
      </c>
      <c r="G16" s="12">
        <v>174</v>
      </c>
      <c r="H16" s="8">
        <v>5.95</v>
      </c>
      <c r="I16" s="12">
        <v>0</v>
      </c>
    </row>
    <row r="17" spans="2:9" ht="15" customHeight="1" x14ac:dyDescent="0.2">
      <c r="B17" t="s">
        <v>87</v>
      </c>
      <c r="C17" s="12">
        <v>177</v>
      </c>
      <c r="D17" s="8">
        <v>3.78</v>
      </c>
      <c r="E17" s="12">
        <v>89</v>
      </c>
      <c r="F17" s="8">
        <v>5.24</v>
      </c>
      <c r="G17" s="12">
        <v>58</v>
      </c>
      <c r="H17" s="8">
        <v>1.98</v>
      </c>
      <c r="I17" s="12">
        <v>0</v>
      </c>
    </row>
    <row r="18" spans="2:9" ht="15" customHeight="1" x14ac:dyDescent="0.2">
      <c r="B18" t="s">
        <v>88</v>
      </c>
      <c r="C18" s="12">
        <v>270</v>
      </c>
      <c r="D18" s="8">
        <v>5.77</v>
      </c>
      <c r="E18" s="12">
        <v>148</v>
      </c>
      <c r="F18" s="8">
        <v>8.7100000000000009</v>
      </c>
      <c r="G18" s="12">
        <v>113</v>
      </c>
      <c r="H18" s="8">
        <v>3.86</v>
      </c>
      <c r="I18" s="12">
        <v>1</v>
      </c>
    </row>
    <row r="19" spans="2:9" ht="15" customHeight="1" x14ac:dyDescent="0.2">
      <c r="B19" t="s">
        <v>89</v>
      </c>
      <c r="C19" s="12">
        <v>188</v>
      </c>
      <c r="D19" s="8">
        <v>4.0199999999999996</v>
      </c>
      <c r="E19" s="12">
        <v>34</v>
      </c>
      <c r="F19" s="8">
        <v>2</v>
      </c>
      <c r="G19" s="12">
        <v>147</v>
      </c>
      <c r="H19" s="8">
        <v>5.0199999999999996</v>
      </c>
      <c r="I19" s="12">
        <v>1</v>
      </c>
    </row>
    <row r="20" spans="2:9" ht="15" customHeight="1" x14ac:dyDescent="0.2">
      <c r="B20" s="9" t="s">
        <v>285</v>
      </c>
      <c r="C20" s="12">
        <f>SUM(LTBL_40131[総数／事業所数])</f>
        <v>4678</v>
      </c>
      <c r="E20" s="12">
        <f>SUBTOTAL(109,LTBL_40131[個人／事業所数])</f>
        <v>1700</v>
      </c>
      <c r="G20" s="12">
        <f>SUBTOTAL(109,LTBL_40131[法人／事業所数])</f>
        <v>2926</v>
      </c>
      <c r="I20" s="12">
        <f>SUBTOTAL(109,LTBL_40131[法人以外の団体／事業所数])</f>
        <v>3</v>
      </c>
    </row>
    <row r="21" spans="2:9" ht="15" customHeight="1" x14ac:dyDescent="0.2">
      <c r="E21" s="11">
        <f>LTBL_40131[[#Totals],[個人／事業所数]]/LTBL_40131[[#Totals],[総数／事業所数]]</f>
        <v>0.36340316374519027</v>
      </c>
      <c r="G21" s="11">
        <f>LTBL_40131[[#Totals],[法人／事業所数]]/LTBL_40131[[#Totals],[総数／事業所数]]</f>
        <v>0.6254809747755451</v>
      </c>
      <c r="I21" s="11">
        <f>LTBL_40131[[#Totals],[法人以外の団体／事業所数]]/LTBL_40131[[#Totals],[総数／事業所数]]</f>
        <v>6.4129970072680635E-4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109</v>
      </c>
      <c r="C24" s="12">
        <v>446</v>
      </c>
      <c r="D24" s="8">
        <v>9.5299999999999994</v>
      </c>
      <c r="E24" s="12">
        <v>92</v>
      </c>
      <c r="F24" s="8">
        <v>5.41</v>
      </c>
      <c r="G24" s="12">
        <v>353</v>
      </c>
      <c r="H24" s="8">
        <v>12.06</v>
      </c>
      <c r="I24" s="12">
        <v>0</v>
      </c>
    </row>
    <row r="25" spans="2:9" ht="15" customHeight="1" x14ac:dyDescent="0.2">
      <c r="B25" t="s">
        <v>113</v>
      </c>
      <c r="C25" s="12">
        <v>438</v>
      </c>
      <c r="D25" s="8">
        <v>9.36</v>
      </c>
      <c r="E25" s="12">
        <v>320</v>
      </c>
      <c r="F25" s="8">
        <v>18.82</v>
      </c>
      <c r="G25" s="12">
        <v>118</v>
      </c>
      <c r="H25" s="8">
        <v>4.03</v>
      </c>
      <c r="I25" s="12">
        <v>0</v>
      </c>
    </row>
    <row r="26" spans="2:9" ht="15" customHeight="1" x14ac:dyDescent="0.2">
      <c r="B26" t="s">
        <v>112</v>
      </c>
      <c r="C26" s="12">
        <v>423</v>
      </c>
      <c r="D26" s="8">
        <v>9.0399999999999991</v>
      </c>
      <c r="E26" s="12">
        <v>363</v>
      </c>
      <c r="F26" s="8">
        <v>21.35</v>
      </c>
      <c r="G26" s="12">
        <v>60</v>
      </c>
      <c r="H26" s="8">
        <v>2.0499999999999998</v>
      </c>
      <c r="I26" s="12">
        <v>0</v>
      </c>
    </row>
    <row r="27" spans="2:9" ht="15" customHeight="1" x14ac:dyDescent="0.2">
      <c r="B27" t="s">
        <v>107</v>
      </c>
      <c r="C27" s="12">
        <v>247</v>
      </c>
      <c r="D27" s="8">
        <v>5.28</v>
      </c>
      <c r="E27" s="12">
        <v>117</v>
      </c>
      <c r="F27" s="8">
        <v>6.88</v>
      </c>
      <c r="G27" s="12">
        <v>130</v>
      </c>
      <c r="H27" s="8">
        <v>4.4400000000000004</v>
      </c>
      <c r="I27" s="12">
        <v>0</v>
      </c>
    </row>
    <row r="28" spans="2:9" ht="15" customHeight="1" x14ac:dyDescent="0.2">
      <c r="B28" t="s">
        <v>98</v>
      </c>
      <c r="C28" s="12">
        <v>235</v>
      </c>
      <c r="D28" s="8">
        <v>5.0199999999999996</v>
      </c>
      <c r="E28" s="12">
        <v>26</v>
      </c>
      <c r="F28" s="8">
        <v>1.53</v>
      </c>
      <c r="G28" s="12">
        <v>209</v>
      </c>
      <c r="H28" s="8">
        <v>7.14</v>
      </c>
      <c r="I28" s="12">
        <v>0</v>
      </c>
    </row>
    <row r="29" spans="2:9" ht="15" customHeight="1" x14ac:dyDescent="0.2">
      <c r="B29" t="s">
        <v>105</v>
      </c>
      <c r="C29" s="12">
        <v>201</v>
      </c>
      <c r="D29" s="8">
        <v>4.3</v>
      </c>
      <c r="E29" s="12">
        <v>130</v>
      </c>
      <c r="F29" s="8">
        <v>7.65</v>
      </c>
      <c r="G29" s="12">
        <v>71</v>
      </c>
      <c r="H29" s="8">
        <v>2.4300000000000002</v>
      </c>
      <c r="I29" s="12">
        <v>0</v>
      </c>
    </row>
    <row r="30" spans="2:9" ht="15" customHeight="1" x14ac:dyDescent="0.2">
      <c r="B30" t="s">
        <v>115</v>
      </c>
      <c r="C30" s="12">
        <v>183</v>
      </c>
      <c r="D30" s="8">
        <v>3.91</v>
      </c>
      <c r="E30" s="12">
        <v>147</v>
      </c>
      <c r="F30" s="8">
        <v>8.65</v>
      </c>
      <c r="G30" s="12">
        <v>36</v>
      </c>
      <c r="H30" s="8">
        <v>1.23</v>
      </c>
      <c r="I30" s="12">
        <v>0</v>
      </c>
    </row>
    <row r="31" spans="2:9" ht="15" customHeight="1" x14ac:dyDescent="0.2">
      <c r="B31" t="s">
        <v>114</v>
      </c>
      <c r="C31" s="12">
        <v>177</v>
      </c>
      <c r="D31" s="8">
        <v>3.78</v>
      </c>
      <c r="E31" s="12">
        <v>89</v>
      </c>
      <c r="F31" s="8">
        <v>5.24</v>
      </c>
      <c r="G31" s="12">
        <v>58</v>
      </c>
      <c r="H31" s="8">
        <v>1.98</v>
      </c>
      <c r="I31" s="12">
        <v>0</v>
      </c>
    </row>
    <row r="32" spans="2:9" ht="15" customHeight="1" x14ac:dyDescent="0.2">
      <c r="B32" t="s">
        <v>99</v>
      </c>
      <c r="C32" s="12">
        <v>153</v>
      </c>
      <c r="D32" s="8">
        <v>3.27</v>
      </c>
      <c r="E32" s="12">
        <v>28</v>
      </c>
      <c r="F32" s="8">
        <v>1.65</v>
      </c>
      <c r="G32" s="12">
        <v>125</v>
      </c>
      <c r="H32" s="8">
        <v>4.2699999999999996</v>
      </c>
      <c r="I32" s="12">
        <v>0</v>
      </c>
    </row>
    <row r="33" spans="2:9" ht="15" customHeight="1" x14ac:dyDescent="0.2">
      <c r="B33" t="s">
        <v>100</v>
      </c>
      <c r="C33" s="12">
        <v>142</v>
      </c>
      <c r="D33" s="8">
        <v>3.04</v>
      </c>
      <c r="E33" s="12">
        <v>21</v>
      </c>
      <c r="F33" s="8">
        <v>1.24</v>
      </c>
      <c r="G33" s="12">
        <v>121</v>
      </c>
      <c r="H33" s="8">
        <v>4.1399999999999997</v>
      </c>
      <c r="I33" s="12">
        <v>0</v>
      </c>
    </row>
    <row r="34" spans="2:9" ht="15" customHeight="1" x14ac:dyDescent="0.2">
      <c r="B34" t="s">
        <v>102</v>
      </c>
      <c r="C34" s="12">
        <v>134</v>
      </c>
      <c r="D34" s="8">
        <v>2.86</v>
      </c>
      <c r="E34" s="12">
        <v>9</v>
      </c>
      <c r="F34" s="8">
        <v>0.53</v>
      </c>
      <c r="G34" s="12">
        <v>125</v>
      </c>
      <c r="H34" s="8">
        <v>4.2699999999999996</v>
      </c>
      <c r="I34" s="12">
        <v>0</v>
      </c>
    </row>
    <row r="35" spans="2:9" ht="15" customHeight="1" x14ac:dyDescent="0.2">
      <c r="B35" t="s">
        <v>110</v>
      </c>
      <c r="C35" s="12">
        <v>132</v>
      </c>
      <c r="D35" s="8">
        <v>2.82</v>
      </c>
      <c r="E35" s="12">
        <v>55</v>
      </c>
      <c r="F35" s="8">
        <v>3.24</v>
      </c>
      <c r="G35" s="12">
        <v>77</v>
      </c>
      <c r="H35" s="8">
        <v>2.63</v>
      </c>
      <c r="I35" s="12">
        <v>0</v>
      </c>
    </row>
    <row r="36" spans="2:9" ht="15" customHeight="1" x14ac:dyDescent="0.2">
      <c r="B36" t="s">
        <v>124</v>
      </c>
      <c r="C36" s="12">
        <v>128</v>
      </c>
      <c r="D36" s="8">
        <v>2.74</v>
      </c>
      <c r="E36" s="12">
        <v>12</v>
      </c>
      <c r="F36" s="8">
        <v>0.71</v>
      </c>
      <c r="G36" s="12">
        <v>116</v>
      </c>
      <c r="H36" s="8">
        <v>3.96</v>
      </c>
      <c r="I36" s="12">
        <v>0</v>
      </c>
    </row>
    <row r="37" spans="2:9" ht="15" customHeight="1" x14ac:dyDescent="0.2">
      <c r="B37" t="s">
        <v>106</v>
      </c>
      <c r="C37" s="12">
        <v>111</v>
      </c>
      <c r="D37" s="8">
        <v>2.37</v>
      </c>
      <c r="E37" s="12">
        <v>47</v>
      </c>
      <c r="F37" s="8">
        <v>2.76</v>
      </c>
      <c r="G37" s="12">
        <v>64</v>
      </c>
      <c r="H37" s="8">
        <v>2.19</v>
      </c>
      <c r="I37" s="12">
        <v>0</v>
      </c>
    </row>
    <row r="38" spans="2:9" ht="15" customHeight="1" x14ac:dyDescent="0.2">
      <c r="B38" t="s">
        <v>103</v>
      </c>
      <c r="C38" s="12">
        <v>108</v>
      </c>
      <c r="D38" s="8">
        <v>2.31</v>
      </c>
      <c r="E38" s="12">
        <v>7</v>
      </c>
      <c r="F38" s="8">
        <v>0.41</v>
      </c>
      <c r="G38" s="12">
        <v>101</v>
      </c>
      <c r="H38" s="8">
        <v>3.45</v>
      </c>
      <c r="I38" s="12">
        <v>0</v>
      </c>
    </row>
    <row r="39" spans="2:9" ht="15" customHeight="1" x14ac:dyDescent="0.2">
      <c r="B39" t="s">
        <v>104</v>
      </c>
      <c r="C39" s="12">
        <v>108</v>
      </c>
      <c r="D39" s="8">
        <v>2.31</v>
      </c>
      <c r="E39" s="12">
        <v>40</v>
      </c>
      <c r="F39" s="8">
        <v>2.35</v>
      </c>
      <c r="G39" s="12">
        <v>68</v>
      </c>
      <c r="H39" s="8">
        <v>2.3199999999999998</v>
      </c>
      <c r="I39" s="12">
        <v>0</v>
      </c>
    </row>
    <row r="40" spans="2:9" ht="15" customHeight="1" x14ac:dyDescent="0.2">
      <c r="B40" t="s">
        <v>108</v>
      </c>
      <c r="C40" s="12">
        <v>102</v>
      </c>
      <c r="D40" s="8">
        <v>2.1800000000000002</v>
      </c>
      <c r="E40" s="12">
        <v>14</v>
      </c>
      <c r="F40" s="8">
        <v>0.82</v>
      </c>
      <c r="G40" s="12">
        <v>88</v>
      </c>
      <c r="H40" s="8">
        <v>3.01</v>
      </c>
      <c r="I40" s="12">
        <v>0</v>
      </c>
    </row>
    <row r="41" spans="2:9" ht="15" customHeight="1" x14ac:dyDescent="0.2">
      <c r="B41" t="s">
        <v>101</v>
      </c>
      <c r="C41" s="12">
        <v>100</v>
      </c>
      <c r="D41" s="8">
        <v>2.14</v>
      </c>
      <c r="E41" s="12">
        <v>7</v>
      </c>
      <c r="F41" s="8">
        <v>0.41</v>
      </c>
      <c r="G41" s="12">
        <v>93</v>
      </c>
      <c r="H41" s="8">
        <v>3.18</v>
      </c>
      <c r="I41" s="12">
        <v>0</v>
      </c>
    </row>
    <row r="42" spans="2:9" ht="15" customHeight="1" x14ac:dyDescent="0.2">
      <c r="B42" t="s">
        <v>117</v>
      </c>
      <c r="C42" s="12">
        <v>91</v>
      </c>
      <c r="D42" s="8">
        <v>1.95</v>
      </c>
      <c r="E42" s="12">
        <v>6</v>
      </c>
      <c r="F42" s="8">
        <v>0.35</v>
      </c>
      <c r="G42" s="12">
        <v>85</v>
      </c>
      <c r="H42" s="8">
        <v>2.9</v>
      </c>
      <c r="I42" s="12">
        <v>0</v>
      </c>
    </row>
    <row r="43" spans="2:9" ht="15" customHeight="1" x14ac:dyDescent="0.2">
      <c r="B43" t="s">
        <v>116</v>
      </c>
      <c r="C43" s="12">
        <v>87</v>
      </c>
      <c r="D43" s="8">
        <v>1.86</v>
      </c>
      <c r="E43" s="12">
        <v>1</v>
      </c>
      <c r="F43" s="8">
        <v>0.06</v>
      </c>
      <c r="G43" s="12">
        <v>77</v>
      </c>
      <c r="H43" s="8">
        <v>2.63</v>
      </c>
      <c r="I43" s="12">
        <v>1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164</v>
      </c>
      <c r="C47" s="12">
        <v>267</v>
      </c>
      <c r="D47" s="8">
        <v>5.71</v>
      </c>
      <c r="E47" s="12">
        <v>64</v>
      </c>
      <c r="F47" s="8">
        <v>3.76</v>
      </c>
      <c r="G47" s="12">
        <v>202</v>
      </c>
      <c r="H47" s="8">
        <v>6.9</v>
      </c>
      <c r="I47" s="12">
        <v>0</v>
      </c>
    </row>
    <row r="48" spans="2:9" ht="15" customHeight="1" x14ac:dyDescent="0.2">
      <c r="B48" t="s">
        <v>170</v>
      </c>
      <c r="C48" s="12">
        <v>222</v>
      </c>
      <c r="D48" s="8">
        <v>4.75</v>
      </c>
      <c r="E48" s="12">
        <v>181</v>
      </c>
      <c r="F48" s="8">
        <v>10.65</v>
      </c>
      <c r="G48" s="12">
        <v>41</v>
      </c>
      <c r="H48" s="8">
        <v>1.4</v>
      </c>
      <c r="I48" s="12">
        <v>0</v>
      </c>
    </row>
    <row r="49" spans="2:9" ht="15" customHeight="1" x14ac:dyDescent="0.2">
      <c r="B49" t="s">
        <v>172</v>
      </c>
      <c r="C49" s="12">
        <v>129</v>
      </c>
      <c r="D49" s="8">
        <v>2.76</v>
      </c>
      <c r="E49" s="12">
        <v>103</v>
      </c>
      <c r="F49" s="8">
        <v>6.06</v>
      </c>
      <c r="G49" s="12">
        <v>26</v>
      </c>
      <c r="H49" s="8">
        <v>0.89</v>
      </c>
      <c r="I49" s="12">
        <v>0</v>
      </c>
    </row>
    <row r="50" spans="2:9" ht="15" customHeight="1" x14ac:dyDescent="0.2">
      <c r="B50" t="s">
        <v>166</v>
      </c>
      <c r="C50" s="12">
        <v>115</v>
      </c>
      <c r="D50" s="8">
        <v>2.46</v>
      </c>
      <c r="E50" s="12">
        <v>97</v>
      </c>
      <c r="F50" s="8">
        <v>5.71</v>
      </c>
      <c r="G50" s="12">
        <v>18</v>
      </c>
      <c r="H50" s="8">
        <v>0.62</v>
      </c>
      <c r="I50" s="12">
        <v>0</v>
      </c>
    </row>
    <row r="51" spans="2:9" ht="15" customHeight="1" x14ac:dyDescent="0.2">
      <c r="B51" t="s">
        <v>169</v>
      </c>
      <c r="C51" s="12">
        <v>110</v>
      </c>
      <c r="D51" s="8">
        <v>2.35</v>
      </c>
      <c r="E51" s="12">
        <v>102</v>
      </c>
      <c r="F51" s="8">
        <v>6</v>
      </c>
      <c r="G51" s="12">
        <v>8</v>
      </c>
      <c r="H51" s="8">
        <v>0.27</v>
      </c>
      <c r="I51" s="12">
        <v>0</v>
      </c>
    </row>
    <row r="52" spans="2:9" ht="15" customHeight="1" x14ac:dyDescent="0.2">
      <c r="B52" t="s">
        <v>167</v>
      </c>
      <c r="C52" s="12">
        <v>109</v>
      </c>
      <c r="D52" s="8">
        <v>2.33</v>
      </c>
      <c r="E52" s="12">
        <v>101</v>
      </c>
      <c r="F52" s="8">
        <v>5.94</v>
      </c>
      <c r="G52" s="12">
        <v>8</v>
      </c>
      <c r="H52" s="8">
        <v>0.27</v>
      </c>
      <c r="I52" s="12">
        <v>0</v>
      </c>
    </row>
    <row r="53" spans="2:9" ht="15" customHeight="1" x14ac:dyDescent="0.2">
      <c r="B53" t="s">
        <v>163</v>
      </c>
      <c r="C53" s="12">
        <v>101</v>
      </c>
      <c r="D53" s="8">
        <v>2.16</v>
      </c>
      <c r="E53" s="12">
        <v>9</v>
      </c>
      <c r="F53" s="8">
        <v>0.53</v>
      </c>
      <c r="G53" s="12">
        <v>92</v>
      </c>
      <c r="H53" s="8">
        <v>3.14</v>
      </c>
      <c r="I53" s="12">
        <v>0</v>
      </c>
    </row>
    <row r="54" spans="2:9" ht="15" customHeight="1" x14ac:dyDescent="0.2">
      <c r="B54" t="s">
        <v>171</v>
      </c>
      <c r="C54" s="12">
        <v>93</v>
      </c>
      <c r="D54" s="8">
        <v>1.99</v>
      </c>
      <c r="E54" s="12">
        <v>62</v>
      </c>
      <c r="F54" s="8">
        <v>3.65</v>
      </c>
      <c r="G54" s="12">
        <v>31</v>
      </c>
      <c r="H54" s="8">
        <v>1.06</v>
      </c>
      <c r="I54" s="12">
        <v>0</v>
      </c>
    </row>
    <row r="55" spans="2:9" ht="15" customHeight="1" x14ac:dyDescent="0.2">
      <c r="B55" t="s">
        <v>158</v>
      </c>
      <c r="C55" s="12">
        <v>82</v>
      </c>
      <c r="D55" s="8">
        <v>1.75</v>
      </c>
      <c r="E55" s="12">
        <v>50</v>
      </c>
      <c r="F55" s="8">
        <v>2.94</v>
      </c>
      <c r="G55" s="12">
        <v>32</v>
      </c>
      <c r="H55" s="8">
        <v>1.0900000000000001</v>
      </c>
      <c r="I55" s="12">
        <v>0</v>
      </c>
    </row>
    <row r="56" spans="2:9" ht="15" customHeight="1" x14ac:dyDescent="0.2">
      <c r="B56" t="s">
        <v>154</v>
      </c>
      <c r="C56" s="12">
        <v>81</v>
      </c>
      <c r="D56" s="8">
        <v>1.73</v>
      </c>
      <c r="E56" s="12">
        <v>6</v>
      </c>
      <c r="F56" s="8">
        <v>0.35</v>
      </c>
      <c r="G56" s="12">
        <v>75</v>
      </c>
      <c r="H56" s="8">
        <v>2.56</v>
      </c>
      <c r="I56" s="12">
        <v>0</v>
      </c>
    </row>
    <row r="57" spans="2:9" ht="15" customHeight="1" x14ac:dyDescent="0.2">
      <c r="B57" t="s">
        <v>162</v>
      </c>
      <c r="C57" s="12">
        <v>81</v>
      </c>
      <c r="D57" s="8">
        <v>1.73</v>
      </c>
      <c r="E57" s="12">
        <v>11</v>
      </c>
      <c r="F57" s="8">
        <v>0.65</v>
      </c>
      <c r="G57" s="12">
        <v>70</v>
      </c>
      <c r="H57" s="8">
        <v>2.39</v>
      </c>
      <c r="I57" s="12">
        <v>0</v>
      </c>
    </row>
    <row r="58" spans="2:9" ht="15" customHeight="1" x14ac:dyDescent="0.2">
      <c r="B58" t="s">
        <v>161</v>
      </c>
      <c r="C58" s="12">
        <v>76</v>
      </c>
      <c r="D58" s="8">
        <v>1.62</v>
      </c>
      <c r="E58" s="12">
        <v>48</v>
      </c>
      <c r="F58" s="8">
        <v>2.82</v>
      </c>
      <c r="G58" s="12">
        <v>28</v>
      </c>
      <c r="H58" s="8">
        <v>0.96</v>
      </c>
      <c r="I58" s="12">
        <v>0</v>
      </c>
    </row>
    <row r="59" spans="2:9" ht="15" customHeight="1" x14ac:dyDescent="0.2">
      <c r="B59" t="s">
        <v>168</v>
      </c>
      <c r="C59" s="12">
        <v>72</v>
      </c>
      <c r="D59" s="8">
        <v>1.54</v>
      </c>
      <c r="E59" s="12">
        <v>64</v>
      </c>
      <c r="F59" s="8">
        <v>3.76</v>
      </c>
      <c r="G59" s="12">
        <v>8</v>
      </c>
      <c r="H59" s="8">
        <v>0.27</v>
      </c>
      <c r="I59" s="12">
        <v>0</v>
      </c>
    </row>
    <row r="60" spans="2:9" ht="15" customHeight="1" x14ac:dyDescent="0.2">
      <c r="B60" t="s">
        <v>155</v>
      </c>
      <c r="C60" s="12">
        <v>68</v>
      </c>
      <c r="D60" s="8">
        <v>1.45</v>
      </c>
      <c r="E60" s="12">
        <v>8</v>
      </c>
      <c r="F60" s="8">
        <v>0.47</v>
      </c>
      <c r="G60" s="12">
        <v>60</v>
      </c>
      <c r="H60" s="8">
        <v>2.0499999999999998</v>
      </c>
      <c r="I60" s="12">
        <v>0</v>
      </c>
    </row>
    <row r="61" spans="2:9" ht="15" customHeight="1" x14ac:dyDescent="0.2">
      <c r="B61" t="s">
        <v>182</v>
      </c>
      <c r="C61" s="12">
        <v>67</v>
      </c>
      <c r="D61" s="8">
        <v>1.43</v>
      </c>
      <c r="E61" s="12">
        <v>21</v>
      </c>
      <c r="F61" s="8">
        <v>1.24</v>
      </c>
      <c r="G61" s="12">
        <v>46</v>
      </c>
      <c r="H61" s="8">
        <v>1.57</v>
      </c>
      <c r="I61" s="12">
        <v>0</v>
      </c>
    </row>
    <row r="62" spans="2:9" ht="15" customHeight="1" x14ac:dyDescent="0.2">
      <c r="B62" t="s">
        <v>159</v>
      </c>
      <c r="C62" s="12">
        <v>66</v>
      </c>
      <c r="D62" s="8">
        <v>1.41</v>
      </c>
      <c r="E62" s="12">
        <v>30</v>
      </c>
      <c r="F62" s="8">
        <v>1.76</v>
      </c>
      <c r="G62" s="12">
        <v>36</v>
      </c>
      <c r="H62" s="8">
        <v>1.23</v>
      </c>
      <c r="I62" s="12">
        <v>0</v>
      </c>
    </row>
    <row r="63" spans="2:9" ht="15" customHeight="1" x14ac:dyDescent="0.2">
      <c r="B63" t="s">
        <v>160</v>
      </c>
      <c r="C63" s="12">
        <v>65</v>
      </c>
      <c r="D63" s="8">
        <v>1.39</v>
      </c>
      <c r="E63" s="12">
        <v>18</v>
      </c>
      <c r="F63" s="8">
        <v>1.06</v>
      </c>
      <c r="G63" s="12">
        <v>47</v>
      </c>
      <c r="H63" s="8">
        <v>1.61</v>
      </c>
      <c r="I63" s="12">
        <v>0</v>
      </c>
    </row>
    <row r="64" spans="2:9" ht="15" customHeight="1" x14ac:dyDescent="0.2">
      <c r="B64" t="s">
        <v>185</v>
      </c>
      <c r="C64" s="12">
        <v>63</v>
      </c>
      <c r="D64" s="8">
        <v>1.35</v>
      </c>
      <c r="E64" s="12">
        <v>4</v>
      </c>
      <c r="F64" s="8">
        <v>0.24</v>
      </c>
      <c r="G64" s="12">
        <v>59</v>
      </c>
      <c r="H64" s="8">
        <v>2.02</v>
      </c>
      <c r="I64" s="12">
        <v>0</v>
      </c>
    </row>
    <row r="65" spans="2:9" ht="15" customHeight="1" x14ac:dyDescent="0.2">
      <c r="B65" t="s">
        <v>191</v>
      </c>
      <c r="C65" s="12">
        <v>62</v>
      </c>
      <c r="D65" s="8">
        <v>1.33</v>
      </c>
      <c r="E65" s="12">
        <v>7</v>
      </c>
      <c r="F65" s="8">
        <v>0.41</v>
      </c>
      <c r="G65" s="12">
        <v>55</v>
      </c>
      <c r="H65" s="8">
        <v>1.88</v>
      </c>
      <c r="I65" s="12">
        <v>0</v>
      </c>
    </row>
    <row r="66" spans="2:9" ht="15" customHeight="1" x14ac:dyDescent="0.2">
      <c r="B66" t="s">
        <v>174</v>
      </c>
      <c r="C66" s="12">
        <v>59</v>
      </c>
      <c r="D66" s="8">
        <v>1.26</v>
      </c>
      <c r="E66" s="12">
        <v>9</v>
      </c>
      <c r="F66" s="8">
        <v>0.53</v>
      </c>
      <c r="G66" s="12">
        <v>50</v>
      </c>
      <c r="H66" s="8">
        <v>1.71</v>
      </c>
      <c r="I66" s="12">
        <v>0</v>
      </c>
    </row>
    <row r="67" spans="2:9" ht="15" customHeight="1" x14ac:dyDescent="0.2">
      <c r="B67" t="s">
        <v>192</v>
      </c>
      <c r="C67" s="12">
        <v>59</v>
      </c>
      <c r="D67" s="8">
        <v>1.26</v>
      </c>
      <c r="E67" s="12">
        <v>5</v>
      </c>
      <c r="F67" s="8">
        <v>0.28999999999999998</v>
      </c>
      <c r="G67" s="12">
        <v>54</v>
      </c>
      <c r="H67" s="8">
        <v>1.85</v>
      </c>
      <c r="I67" s="12">
        <v>0</v>
      </c>
    </row>
    <row r="69" spans="2:9" ht="15" customHeight="1" x14ac:dyDescent="0.2">
      <c r="B69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C2343-59A0-4FE9-965A-547206DBB87F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299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926</v>
      </c>
      <c r="D6" s="8">
        <v>9</v>
      </c>
      <c r="E6" s="12">
        <v>44</v>
      </c>
      <c r="F6" s="8">
        <v>1.57</v>
      </c>
      <c r="G6" s="12">
        <v>882</v>
      </c>
      <c r="H6" s="8">
        <v>11.91</v>
      </c>
      <c r="I6" s="12">
        <v>0</v>
      </c>
    </row>
    <row r="7" spans="2:9" ht="15" customHeight="1" x14ac:dyDescent="0.2">
      <c r="B7" t="s">
        <v>77</v>
      </c>
      <c r="C7" s="12">
        <v>488</v>
      </c>
      <c r="D7" s="8">
        <v>4.74</v>
      </c>
      <c r="E7" s="12">
        <v>107</v>
      </c>
      <c r="F7" s="8">
        <v>3.82</v>
      </c>
      <c r="G7" s="12">
        <v>381</v>
      </c>
      <c r="H7" s="8">
        <v>5.14</v>
      </c>
      <c r="I7" s="12">
        <v>0</v>
      </c>
    </row>
    <row r="8" spans="2:9" ht="15" customHeight="1" x14ac:dyDescent="0.2">
      <c r="B8" t="s">
        <v>78</v>
      </c>
      <c r="C8" s="12">
        <v>19</v>
      </c>
      <c r="D8" s="8">
        <v>0.18</v>
      </c>
      <c r="E8" s="12">
        <v>0</v>
      </c>
      <c r="F8" s="8">
        <v>0</v>
      </c>
      <c r="G8" s="12">
        <v>19</v>
      </c>
      <c r="H8" s="8">
        <v>0.26</v>
      </c>
      <c r="I8" s="12">
        <v>0</v>
      </c>
    </row>
    <row r="9" spans="2:9" ht="15" customHeight="1" x14ac:dyDescent="0.2">
      <c r="B9" t="s">
        <v>79</v>
      </c>
      <c r="C9" s="12">
        <v>361</v>
      </c>
      <c r="D9" s="8">
        <v>3.51</v>
      </c>
      <c r="E9" s="12">
        <v>6</v>
      </c>
      <c r="F9" s="8">
        <v>0.21</v>
      </c>
      <c r="G9" s="12">
        <v>354</v>
      </c>
      <c r="H9" s="8">
        <v>4.78</v>
      </c>
      <c r="I9" s="12">
        <v>1</v>
      </c>
    </row>
    <row r="10" spans="2:9" ht="15" customHeight="1" x14ac:dyDescent="0.2">
      <c r="B10" t="s">
        <v>80</v>
      </c>
      <c r="C10" s="12">
        <v>164</v>
      </c>
      <c r="D10" s="8">
        <v>1.59</v>
      </c>
      <c r="E10" s="12">
        <v>7</v>
      </c>
      <c r="F10" s="8">
        <v>0.25</v>
      </c>
      <c r="G10" s="12">
        <v>155</v>
      </c>
      <c r="H10" s="8">
        <v>2.09</v>
      </c>
      <c r="I10" s="12">
        <v>2</v>
      </c>
    </row>
    <row r="11" spans="2:9" ht="15" customHeight="1" x14ac:dyDescent="0.2">
      <c r="B11" t="s">
        <v>81</v>
      </c>
      <c r="C11" s="12">
        <v>3076</v>
      </c>
      <c r="D11" s="8">
        <v>29.9</v>
      </c>
      <c r="E11" s="12">
        <v>429</v>
      </c>
      <c r="F11" s="8">
        <v>15.31</v>
      </c>
      <c r="G11" s="12">
        <v>2645</v>
      </c>
      <c r="H11" s="8">
        <v>35.71</v>
      </c>
      <c r="I11" s="12">
        <v>2</v>
      </c>
    </row>
    <row r="12" spans="2:9" ht="15" customHeight="1" x14ac:dyDescent="0.2">
      <c r="B12" t="s">
        <v>82</v>
      </c>
      <c r="C12" s="12">
        <v>116</v>
      </c>
      <c r="D12" s="8">
        <v>1.1299999999999999</v>
      </c>
      <c r="E12" s="12">
        <v>3</v>
      </c>
      <c r="F12" s="8">
        <v>0.11</v>
      </c>
      <c r="G12" s="12">
        <v>111</v>
      </c>
      <c r="H12" s="8">
        <v>1.5</v>
      </c>
      <c r="I12" s="12">
        <v>2</v>
      </c>
    </row>
    <row r="13" spans="2:9" ht="15" customHeight="1" x14ac:dyDescent="0.2">
      <c r="B13" t="s">
        <v>83</v>
      </c>
      <c r="C13" s="12">
        <v>1026</v>
      </c>
      <c r="D13" s="8">
        <v>9.9700000000000006</v>
      </c>
      <c r="E13" s="12">
        <v>121</v>
      </c>
      <c r="F13" s="8">
        <v>4.32</v>
      </c>
      <c r="G13" s="12">
        <v>900</v>
      </c>
      <c r="H13" s="8">
        <v>12.15</v>
      </c>
      <c r="I13" s="12">
        <v>2</v>
      </c>
    </row>
    <row r="14" spans="2:9" ht="15" customHeight="1" x14ac:dyDescent="0.2">
      <c r="B14" t="s">
        <v>84</v>
      </c>
      <c r="C14" s="12">
        <v>878</v>
      </c>
      <c r="D14" s="8">
        <v>8.5299999999999994</v>
      </c>
      <c r="E14" s="12">
        <v>238</v>
      </c>
      <c r="F14" s="8">
        <v>8.49</v>
      </c>
      <c r="G14" s="12">
        <v>638</v>
      </c>
      <c r="H14" s="8">
        <v>8.61</v>
      </c>
      <c r="I14" s="12">
        <v>2</v>
      </c>
    </row>
    <row r="15" spans="2:9" ht="15" customHeight="1" x14ac:dyDescent="0.2">
      <c r="B15" t="s">
        <v>85</v>
      </c>
      <c r="C15" s="12">
        <v>1484</v>
      </c>
      <c r="D15" s="8">
        <v>14.42</v>
      </c>
      <c r="E15" s="12">
        <v>1128</v>
      </c>
      <c r="F15" s="8">
        <v>40.24</v>
      </c>
      <c r="G15" s="12">
        <v>355</v>
      </c>
      <c r="H15" s="8">
        <v>4.79</v>
      </c>
      <c r="I15" s="12">
        <v>0</v>
      </c>
    </row>
    <row r="16" spans="2:9" ht="15" customHeight="1" x14ac:dyDescent="0.2">
      <c r="B16" t="s">
        <v>86</v>
      </c>
      <c r="C16" s="12">
        <v>688</v>
      </c>
      <c r="D16" s="8">
        <v>6.69</v>
      </c>
      <c r="E16" s="12">
        <v>395</v>
      </c>
      <c r="F16" s="8">
        <v>14.09</v>
      </c>
      <c r="G16" s="12">
        <v>290</v>
      </c>
      <c r="H16" s="8">
        <v>3.92</v>
      </c>
      <c r="I16" s="12">
        <v>2</v>
      </c>
    </row>
    <row r="17" spans="2:9" ht="15" customHeight="1" x14ac:dyDescent="0.2">
      <c r="B17" t="s">
        <v>87</v>
      </c>
      <c r="C17" s="12">
        <v>187</v>
      </c>
      <c r="D17" s="8">
        <v>1.82</v>
      </c>
      <c r="E17" s="12">
        <v>66</v>
      </c>
      <c r="F17" s="8">
        <v>2.35</v>
      </c>
      <c r="G17" s="12">
        <v>95</v>
      </c>
      <c r="H17" s="8">
        <v>1.28</v>
      </c>
      <c r="I17" s="12">
        <v>1</v>
      </c>
    </row>
    <row r="18" spans="2:9" ht="15" customHeight="1" x14ac:dyDescent="0.2">
      <c r="B18" t="s">
        <v>88</v>
      </c>
      <c r="C18" s="12">
        <v>332</v>
      </c>
      <c r="D18" s="8">
        <v>3.23</v>
      </c>
      <c r="E18" s="12">
        <v>189</v>
      </c>
      <c r="F18" s="8">
        <v>6.74</v>
      </c>
      <c r="G18" s="12">
        <v>129</v>
      </c>
      <c r="H18" s="8">
        <v>1.74</v>
      </c>
      <c r="I18" s="12">
        <v>0</v>
      </c>
    </row>
    <row r="19" spans="2:9" ht="15" customHeight="1" x14ac:dyDescent="0.2">
      <c r="B19" t="s">
        <v>89</v>
      </c>
      <c r="C19" s="12">
        <v>544</v>
      </c>
      <c r="D19" s="8">
        <v>5.29</v>
      </c>
      <c r="E19" s="12">
        <v>70</v>
      </c>
      <c r="F19" s="8">
        <v>2.5</v>
      </c>
      <c r="G19" s="12">
        <v>453</v>
      </c>
      <c r="H19" s="8">
        <v>6.12</v>
      </c>
      <c r="I19" s="12">
        <v>8</v>
      </c>
    </row>
    <row r="20" spans="2:9" ht="15" customHeight="1" x14ac:dyDescent="0.2">
      <c r="B20" s="9" t="s">
        <v>285</v>
      </c>
      <c r="C20" s="12">
        <f>SUM(LTBL_40132[総数／事業所数])</f>
        <v>10289</v>
      </c>
      <c r="E20" s="12">
        <f>SUBTOTAL(109,LTBL_40132[個人／事業所数])</f>
        <v>2803</v>
      </c>
      <c r="G20" s="12">
        <f>SUBTOTAL(109,LTBL_40132[法人／事業所数])</f>
        <v>7407</v>
      </c>
      <c r="I20" s="12">
        <f>SUBTOTAL(109,LTBL_40132[法人以外の団体／事業所数])</f>
        <v>22</v>
      </c>
    </row>
    <row r="21" spans="2:9" ht="15" customHeight="1" x14ac:dyDescent="0.2">
      <c r="E21" s="11">
        <f>LTBL_40132[[#Totals],[個人／事業所数]]/LTBL_40132[[#Totals],[総数／事業所数]]</f>
        <v>0.27242686364078139</v>
      </c>
      <c r="G21" s="11">
        <f>LTBL_40132[[#Totals],[法人／事業所数]]/LTBL_40132[[#Totals],[総数／事業所数]]</f>
        <v>0.71989503353095541</v>
      </c>
      <c r="I21" s="11">
        <f>LTBL_40132[[#Totals],[法人以外の団体／事業所数]]/LTBL_40132[[#Totals],[総数／事業所数]]</f>
        <v>2.1382058509087374E-3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112</v>
      </c>
      <c r="C24" s="12">
        <v>1417</v>
      </c>
      <c r="D24" s="8">
        <v>13.77</v>
      </c>
      <c r="E24" s="12">
        <v>1114</v>
      </c>
      <c r="F24" s="8">
        <v>39.74</v>
      </c>
      <c r="G24" s="12">
        <v>303</v>
      </c>
      <c r="H24" s="8">
        <v>4.09</v>
      </c>
      <c r="I24" s="12">
        <v>0</v>
      </c>
    </row>
    <row r="25" spans="2:9" ht="15" customHeight="1" x14ac:dyDescent="0.2">
      <c r="B25" t="s">
        <v>109</v>
      </c>
      <c r="C25" s="12">
        <v>727</v>
      </c>
      <c r="D25" s="8">
        <v>7.07</v>
      </c>
      <c r="E25" s="12">
        <v>102</v>
      </c>
      <c r="F25" s="8">
        <v>3.64</v>
      </c>
      <c r="G25" s="12">
        <v>620</v>
      </c>
      <c r="H25" s="8">
        <v>8.3699999999999992</v>
      </c>
      <c r="I25" s="12">
        <v>2</v>
      </c>
    </row>
    <row r="26" spans="2:9" ht="15" customHeight="1" x14ac:dyDescent="0.2">
      <c r="B26" t="s">
        <v>102</v>
      </c>
      <c r="C26" s="12">
        <v>719</v>
      </c>
      <c r="D26" s="8">
        <v>6.99</v>
      </c>
      <c r="E26" s="12">
        <v>8</v>
      </c>
      <c r="F26" s="8">
        <v>0.28999999999999998</v>
      </c>
      <c r="G26" s="12">
        <v>711</v>
      </c>
      <c r="H26" s="8">
        <v>9.6</v>
      </c>
      <c r="I26" s="12">
        <v>0</v>
      </c>
    </row>
    <row r="27" spans="2:9" ht="15" customHeight="1" x14ac:dyDescent="0.2">
      <c r="B27" t="s">
        <v>110</v>
      </c>
      <c r="C27" s="12">
        <v>500</v>
      </c>
      <c r="D27" s="8">
        <v>4.8600000000000003</v>
      </c>
      <c r="E27" s="12">
        <v>199</v>
      </c>
      <c r="F27" s="8">
        <v>7.1</v>
      </c>
      <c r="G27" s="12">
        <v>299</v>
      </c>
      <c r="H27" s="8">
        <v>4.04</v>
      </c>
      <c r="I27" s="12">
        <v>2</v>
      </c>
    </row>
    <row r="28" spans="2:9" ht="15" customHeight="1" x14ac:dyDescent="0.2">
      <c r="B28" t="s">
        <v>113</v>
      </c>
      <c r="C28" s="12">
        <v>478</v>
      </c>
      <c r="D28" s="8">
        <v>4.6500000000000004</v>
      </c>
      <c r="E28" s="12">
        <v>331</v>
      </c>
      <c r="F28" s="8">
        <v>11.81</v>
      </c>
      <c r="G28" s="12">
        <v>147</v>
      </c>
      <c r="H28" s="8">
        <v>1.98</v>
      </c>
      <c r="I28" s="12">
        <v>0</v>
      </c>
    </row>
    <row r="29" spans="2:9" ht="15" customHeight="1" x14ac:dyDescent="0.2">
      <c r="B29" t="s">
        <v>103</v>
      </c>
      <c r="C29" s="12">
        <v>420</v>
      </c>
      <c r="D29" s="8">
        <v>4.08</v>
      </c>
      <c r="E29" s="12">
        <v>15</v>
      </c>
      <c r="F29" s="8">
        <v>0.54</v>
      </c>
      <c r="G29" s="12">
        <v>404</v>
      </c>
      <c r="H29" s="8">
        <v>5.45</v>
      </c>
      <c r="I29" s="12">
        <v>1</v>
      </c>
    </row>
    <row r="30" spans="2:9" ht="15" customHeight="1" x14ac:dyDescent="0.2">
      <c r="B30" t="s">
        <v>101</v>
      </c>
      <c r="C30" s="12">
        <v>379</v>
      </c>
      <c r="D30" s="8">
        <v>3.68</v>
      </c>
      <c r="E30" s="12">
        <v>9</v>
      </c>
      <c r="F30" s="8">
        <v>0.32</v>
      </c>
      <c r="G30" s="12">
        <v>370</v>
      </c>
      <c r="H30" s="8">
        <v>5</v>
      </c>
      <c r="I30" s="12">
        <v>0</v>
      </c>
    </row>
    <row r="31" spans="2:9" ht="15" customHeight="1" x14ac:dyDescent="0.2">
      <c r="B31" t="s">
        <v>107</v>
      </c>
      <c r="C31" s="12">
        <v>366</v>
      </c>
      <c r="D31" s="8">
        <v>3.56</v>
      </c>
      <c r="E31" s="12">
        <v>109</v>
      </c>
      <c r="F31" s="8">
        <v>3.89</v>
      </c>
      <c r="G31" s="12">
        <v>257</v>
      </c>
      <c r="H31" s="8">
        <v>3.47</v>
      </c>
      <c r="I31" s="12">
        <v>0</v>
      </c>
    </row>
    <row r="32" spans="2:9" ht="15" customHeight="1" x14ac:dyDescent="0.2">
      <c r="B32" t="s">
        <v>105</v>
      </c>
      <c r="C32" s="12">
        <v>340</v>
      </c>
      <c r="D32" s="8">
        <v>3.3</v>
      </c>
      <c r="E32" s="12">
        <v>164</v>
      </c>
      <c r="F32" s="8">
        <v>5.85</v>
      </c>
      <c r="G32" s="12">
        <v>176</v>
      </c>
      <c r="H32" s="8">
        <v>2.38</v>
      </c>
      <c r="I32" s="12">
        <v>0</v>
      </c>
    </row>
    <row r="33" spans="2:9" ht="15" customHeight="1" x14ac:dyDescent="0.2">
      <c r="B33" t="s">
        <v>100</v>
      </c>
      <c r="C33" s="12">
        <v>336</v>
      </c>
      <c r="D33" s="8">
        <v>3.27</v>
      </c>
      <c r="E33" s="12">
        <v>21</v>
      </c>
      <c r="F33" s="8">
        <v>0.75</v>
      </c>
      <c r="G33" s="12">
        <v>315</v>
      </c>
      <c r="H33" s="8">
        <v>4.25</v>
      </c>
      <c r="I33" s="12">
        <v>0</v>
      </c>
    </row>
    <row r="34" spans="2:9" ht="15" customHeight="1" x14ac:dyDescent="0.2">
      <c r="B34" t="s">
        <v>98</v>
      </c>
      <c r="C34" s="12">
        <v>317</v>
      </c>
      <c r="D34" s="8">
        <v>3.08</v>
      </c>
      <c r="E34" s="12">
        <v>6</v>
      </c>
      <c r="F34" s="8">
        <v>0.21</v>
      </c>
      <c r="G34" s="12">
        <v>311</v>
      </c>
      <c r="H34" s="8">
        <v>4.2</v>
      </c>
      <c r="I34" s="12">
        <v>0</v>
      </c>
    </row>
    <row r="35" spans="2:9" ht="15" customHeight="1" x14ac:dyDescent="0.2">
      <c r="B35" t="s">
        <v>117</v>
      </c>
      <c r="C35" s="12">
        <v>305</v>
      </c>
      <c r="D35" s="8">
        <v>2.96</v>
      </c>
      <c r="E35" s="12">
        <v>14</v>
      </c>
      <c r="F35" s="8">
        <v>0.5</v>
      </c>
      <c r="G35" s="12">
        <v>283</v>
      </c>
      <c r="H35" s="8">
        <v>3.82</v>
      </c>
      <c r="I35" s="12">
        <v>7</v>
      </c>
    </row>
    <row r="36" spans="2:9" ht="15" customHeight="1" x14ac:dyDescent="0.2">
      <c r="B36" t="s">
        <v>111</v>
      </c>
      <c r="C36" s="12">
        <v>299</v>
      </c>
      <c r="D36" s="8">
        <v>2.91</v>
      </c>
      <c r="E36" s="12">
        <v>37</v>
      </c>
      <c r="F36" s="8">
        <v>1.32</v>
      </c>
      <c r="G36" s="12">
        <v>262</v>
      </c>
      <c r="H36" s="8">
        <v>3.54</v>
      </c>
      <c r="I36" s="12">
        <v>0</v>
      </c>
    </row>
    <row r="37" spans="2:9" ht="15" customHeight="1" x14ac:dyDescent="0.2">
      <c r="B37" t="s">
        <v>99</v>
      </c>
      <c r="C37" s="12">
        <v>273</v>
      </c>
      <c r="D37" s="8">
        <v>2.65</v>
      </c>
      <c r="E37" s="12">
        <v>17</v>
      </c>
      <c r="F37" s="8">
        <v>0.61</v>
      </c>
      <c r="G37" s="12">
        <v>256</v>
      </c>
      <c r="H37" s="8">
        <v>3.46</v>
      </c>
      <c r="I37" s="12">
        <v>0</v>
      </c>
    </row>
    <row r="38" spans="2:9" ht="15" customHeight="1" x14ac:dyDescent="0.2">
      <c r="B38" t="s">
        <v>125</v>
      </c>
      <c r="C38" s="12">
        <v>257</v>
      </c>
      <c r="D38" s="8">
        <v>2.5</v>
      </c>
      <c r="E38" s="12">
        <v>1</v>
      </c>
      <c r="F38" s="8">
        <v>0.04</v>
      </c>
      <c r="G38" s="12">
        <v>255</v>
      </c>
      <c r="H38" s="8">
        <v>3.44</v>
      </c>
      <c r="I38" s="12">
        <v>1</v>
      </c>
    </row>
    <row r="39" spans="2:9" ht="15" customHeight="1" x14ac:dyDescent="0.2">
      <c r="B39" t="s">
        <v>104</v>
      </c>
      <c r="C39" s="12">
        <v>244</v>
      </c>
      <c r="D39" s="8">
        <v>2.37</v>
      </c>
      <c r="E39" s="12">
        <v>43</v>
      </c>
      <c r="F39" s="8">
        <v>1.53</v>
      </c>
      <c r="G39" s="12">
        <v>201</v>
      </c>
      <c r="H39" s="8">
        <v>2.71</v>
      </c>
      <c r="I39" s="12">
        <v>0</v>
      </c>
    </row>
    <row r="40" spans="2:9" ht="15" customHeight="1" x14ac:dyDescent="0.2">
      <c r="B40" t="s">
        <v>108</v>
      </c>
      <c r="C40" s="12">
        <v>232</v>
      </c>
      <c r="D40" s="8">
        <v>2.25</v>
      </c>
      <c r="E40" s="12">
        <v>19</v>
      </c>
      <c r="F40" s="8">
        <v>0.68</v>
      </c>
      <c r="G40" s="12">
        <v>213</v>
      </c>
      <c r="H40" s="8">
        <v>2.88</v>
      </c>
      <c r="I40" s="12">
        <v>0</v>
      </c>
    </row>
    <row r="41" spans="2:9" ht="15" customHeight="1" x14ac:dyDescent="0.2">
      <c r="B41" t="s">
        <v>124</v>
      </c>
      <c r="C41" s="12">
        <v>230</v>
      </c>
      <c r="D41" s="8">
        <v>2.2400000000000002</v>
      </c>
      <c r="E41" s="12">
        <v>13</v>
      </c>
      <c r="F41" s="8">
        <v>0.46</v>
      </c>
      <c r="G41" s="12">
        <v>217</v>
      </c>
      <c r="H41" s="8">
        <v>2.93</v>
      </c>
      <c r="I41" s="12">
        <v>0</v>
      </c>
    </row>
    <row r="42" spans="2:9" ht="15" customHeight="1" x14ac:dyDescent="0.2">
      <c r="B42" t="s">
        <v>115</v>
      </c>
      <c r="C42" s="12">
        <v>227</v>
      </c>
      <c r="D42" s="8">
        <v>2.21</v>
      </c>
      <c r="E42" s="12">
        <v>186</v>
      </c>
      <c r="F42" s="8">
        <v>6.64</v>
      </c>
      <c r="G42" s="12">
        <v>41</v>
      </c>
      <c r="H42" s="8">
        <v>0.55000000000000004</v>
      </c>
      <c r="I42" s="12">
        <v>0</v>
      </c>
    </row>
    <row r="43" spans="2:9" ht="15" customHeight="1" x14ac:dyDescent="0.2">
      <c r="B43" t="s">
        <v>114</v>
      </c>
      <c r="C43" s="12">
        <v>187</v>
      </c>
      <c r="D43" s="8">
        <v>1.82</v>
      </c>
      <c r="E43" s="12">
        <v>66</v>
      </c>
      <c r="F43" s="8">
        <v>2.35</v>
      </c>
      <c r="G43" s="12">
        <v>95</v>
      </c>
      <c r="H43" s="8">
        <v>1.28</v>
      </c>
      <c r="I43" s="12">
        <v>1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168</v>
      </c>
      <c r="C47" s="12">
        <v>609</v>
      </c>
      <c r="D47" s="8">
        <v>5.92</v>
      </c>
      <c r="E47" s="12">
        <v>511</v>
      </c>
      <c r="F47" s="8">
        <v>18.23</v>
      </c>
      <c r="G47" s="12">
        <v>98</v>
      </c>
      <c r="H47" s="8">
        <v>1.32</v>
      </c>
      <c r="I47" s="12">
        <v>0</v>
      </c>
    </row>
    <row r="48" spans="2:9" ht="15" customHeight="1" x14ac:dyDescent="0.2">
      <c r="B48" t="s">
        <v>167</v>
      </c>
      <c r="C48" s="12">
        <v>314</v>
      </c>
      <c r="D48" s="8">
        <v>3.05</v>
      </c>
      <c r="E48" s="12">
        <v>256</v>
      </c>
      <c r="F48" s="8">
        <v>9.1300000000000008</v>
      </c>
      <c r="G48" s="12">
        <v>58</v>
      </c>
      <c r="H48" s="8">
        <v>0.78</v>
      </c>
      <c r="I48" s="12">
        <v>0</v>
      </c>
    </row>
    <row r="49" spans="2:9" ht="15" customHeight="1" x14ac:dyDescent="0.2">
      <c r="B49" t="s">
        <v>164</v>
      </c>
      <c r="C49" s="12">
        <v>300</v>
      </c>
      <c r="D49" s="8">
        <v>2.92</v>
      </c>
      <c r="E49" s="12">
        <v>59</v>
      </c>
      <c r="F49" s="8">
        <v>2.1</v>
      </c>
      <c r="G49" s="12">
        <v>238</v>
      </c>
      <c r="H49" s="8">
        <v>3.21</v>
      </c>
      <c r="I49" s="12">
        <v>0</v>
      </c>
    </row>
    <row r="50" spans="2:9" ht="15" customHeight="1" x14ac:dyDescent="0.2">
      <c r="B50" t="s">
        <v>184</v>
      </c>
      <c r="C50" s="12">
        <v>286</v>
      </c>
      <c r="D50" s="8">
        <v>2.78</v>
      </c>
      <c r="E50" s="12">
        <v>5</v>
      </c>
      <c r="F50" s="8">
        <v>0.18</v>
      </c>
      <c r="G50" s="12">
        <v>281</v>
      </c>
      <c r="H50" s="8">
        <v>3.79</v>
      </c>
      <c r="I50" s="12">
        <v>0</v>
      </c>
    </row>
    <row r="51" spans="2:9" ht="15" customHeight="1" x14ac:dyDescent="0.2">
      <c r="B51" t="s">
        <v>185</v>
      </c>
      <c r="C51" s="12">
        <v>252</v>
      </c>
      <c r="D51" s="8">
        <v>2.4500000000000002</v>
      </c>
      <c r="E51" s="12">
        <v>10</v>
      </c>
      <c r="F51" s="8">
        <v>0.36</v>
      </c>
      <c r="G51" s="12">
        <v>241</v>
      </c>
      <c r="H51" s="8">
        <v>3.25</v>
      </c>
      <c r="I51" s="12">
        <v>1</v>
      </c>
    </row>
    <row r="52" spans="2:9" ht="15" customHeight="1" x14ac:dyDescent="0.2">
      <c r="B52" t="s">
        <v>166</v>
      </c>
      <c r="C52" s="12">
        <v>250</v>
      </c>
      <c r="D52" s="8">
        <v>2.4300000000000002</v>
      </c>
      <c r="E52" s="12">
        <v>174</v>
      </c>
      <c r="F52" s="8">
        <v>6.21</v>
      </c>
      <c r="G52" s="12">
        <v>76</v>
      </c>
      <c r="H52" s="8">
        <v>1.03</v>
      </c>
      <c r="I52" s="12">
        <v>0</v>
      </c>
    </row>
    <row r="53" spans="2:9" ht="15" customHeight="1" x14ac:dyDescent="0.2">
      <c r="B53" t="s">
        <v>196</v>
      </c>
      <c r="C53" s="12">
        <v>243</v>
      </c>
      <c r="D53" s="8">
        <v>2.36</v>
      </c>
      <c r="E53" s="12">
        <v>1</v>
      </c>
      <c r="F53" s="8">
        <v>0.04</v>
      </c>
      <c r="G53" s="12">
        <v>242</v>
      </c>
      <c r="H53" s="8">
        <v>3.27</v>
      </c>
      <c r="I53" s="12">
        <v>0</v>
      </c>
    </row>
    <row r="54" spans="2:9" ht="15" customHeight="1" x14ac:dyDescent="0.2">
      <c r="B54" t="s">
        <v>163</v>
      </c>
      <c r="C54" s="12">
        <v>231</v>
      </c>
      <c r="D54" s="8">
        <v>2.25</v>
      </c>
      <c r="E54" s="12">
        <v>14</v>
      </c>
      <c r="F54" s="8">
        <v>0.5</v>
      </c>
      <c r="G54" s="12">
        <v>217</v>
      </c>
      <c r="H54" s="8">
        <v>2.93</v>
      </c>
      <c r="I54" s="12">
        <v>0</v>
      </c>
    </row>
    <row r="55" spans="2:9" ht="15" customHeight="1" x14ac:dyDescent="0.2">
      <c r="B55" t="s">
        <v>193</v>
      </c>
      <c r="C55" s="12">
        <v>222</v>
      </c>
      <c r="D55" s="8">
        <v>2.16</v>
      </c>
      <c r="E55" s="12">
        <v>1</v>
      </c>
      <c r="F55" s="8">
        <v>0.04</v>
      </c>
      <c r="G55" s="12">
        <v>221</v>
      </c>
      <c r="H55" s="8">
        <v>2.98</v>
      </c>
      <c r="I55" s="12">
        <v>0</v>
      </c>
    </row>
    <row r="56" spans="2:9" ht="15" customHeight="1" x14ac:dyDescent="0.2">
      <c r="B56" t="s">
        <v>165</v>
      </c>
      <c r="C56" s="12">
        <v>218</v>
      </c>
      <c r="D56" s="8">
        <v>2.12</v>
      </c>
      <c r="E56" s="12">
        <v>16</v>
      </c>
      <c r="F56" s="8">
        <v>0.56999999999999995</v>
      </c>
      <c r="G56" s="12">
        <v>202</v>
      </c>
      <c r="H56" s="8">
        <v>2.73</v>
      </c>
      <c r="I56" s="12">
        <v>0</v>
      </c>
    </row>
    <row r="57" spans="2:9" ht="15" customHeight="1" x14ac:dyDescent="0.2">
      <c r="B57" t="s">
        <v>190</v>
      </c>
      <c r="C57" s="12">
        <v>201</v>
      </c>
      <c r="D57" s="8">
        <v>1.95</v>
      </c>
      <c r="E57" s="12">
        <v>8</v>
      </c>
      <c r="F57" s="8">
        <v>0.28999999999999998</v>
      </c>
      <c r="G57" s="12">
        <v>186</v>
      </c>
      <c r="H57" s="8">
        <v>2.5099999999999998</v>
      </c>
      <c r="I57" s="12">
        <v>6</v>
      </c>
    </row>
    <row r="58" spans="2:9" ht="15" customHeight="1" x14ac:dyDescent="0.2">
      <c r="B58" t="s">
        <v>170</v>
      </c>
      <c r="C58" s="12">
        <v>194</v>
      </c>
      <c r="D58" s="8">
        <v>1.89</v>
      </c>
      <c r="E58" s="12">
        <v>151</v>
      </c>
      <c r="F58" s="8">
        <v>5.39</v>
      </c>
      <c r="G58" s="12">
        <v>43</v>
      </c>
      <c r="H58" s="8">
        <v>0.57999999999999996</v>
      </c>
      <c r="I58" s="12">
        <v>0</v>
      </c>
    </row>
    <row r="59" spans="2:9" ht="15" customHeight="1" x14ac:dyDescent="0.2">
      <c r="B59" t="s">
        <v>162</v>
      </c>
      <c r="C59" s="12">
        <v>173</v>
      </c>
      <c r="D59" s="8">
        <v>1.68</v>
      </c>
      <c r="E59" s="12">
        <v>18</v>
      </c>
      <c r="F59" s="8">
        <v>0.64</v>
      </c>
      <c r="G59" s="12">
        <v>155</v>
      </c>
      <c r="H59" s="8">
        <v>2.09</v>
      </c>
      <c r="I59" s="12">
        <v>0</v>
      </c>
    </row>
    <row r="60" spans="2:9" ht="15" customHeight="1" x14ac:dyDescent="0.2">
      <c r="B60" t="s">
        <v>191</v>
      </c>
      <c r="C60" s="12">
        <v>162</v>
      </c>
      <c r="D60" s="8">
        <v>1.57</v>
      </c>
      <c r="E60" s="12">
        <v>6</v>
      </c>
      <c r="F60" s="8">
        <v>0.21</v>
      </c>
      <c r="G60" s="12">
        <v>156</v>
      </c>
      <c r="H60" s="8">
        <v>2.11</v>
      </c>
      <c r="I60" s="12">
        <v>0</v>
      </c>
    </row>
    <row r="61" spans="2:9" ht="15" customHeight="1" x14ac:dyDescent="0.2">
      <c r="B61" t="s">
        <v>172</v>
      </c>
      <c r="C61" s="12">
        <v>143</v>
      </c>
      <c r="D61" s="8">
        <v>1.39</v>
      </c>
      <c r="E61" s="12">
        <v>116</v>
      </c>
      <c r="F61" s="8">
        <v>4.1399999999999997</v>
      </c>
      <c r="G61" s="12">
        <v>27</v>
      </c>
      <c r="H61" s="8">
        <v>0.36</v>
      </c>
      <c r="I61" s="12">
        <v>0</v>
      </c>
    </row>
    <row r="62" spans="2:9" ht="15" customHeight="1" x14ac:dyDescent="0.2">
      <c r="B62" t="s">
        <v>158</v>
      </c>
      <c r="C62" s="12">
        <v>140</v>
      </c>
      <c r="D62" s="8">
        <v>1.36</v>
      </c>
      <c r="E62" s="12">
        <v>64</v>
      </c>
      <c r="F62" s="8">
        <v>2.2799999999999998</v>
      </c>
      <c r="G62" s="12">
        <v>76</v>
      </c>
      <c r="H62" s="8">
        <v>1.03</v>
      </c>
      <c r="I62" s="12">
        <v>0</v>
      </c>
    </row>
    <row r="63" spans="2:9" ht="15" customHeight="1" x14ac:dyDescent="0.2">
      <c r="B63" t="s">
        <v>197</v>
      </c>
      <c r="C63" s="12">
        <v>129</v>
      </c>
      <c r="D63" s="8">
        <v>1.25</v>
      </c>
      <c r="E63" s="12">
        <v>6</v>
      </c>
      <c r="F63" s="8">
        <v>0.21</v>
      </c>
      <c r="G63" s="12">
        <v>123</v>
      </c>
      <c r="H63" s="8">
        <v>1.66</v>
      </c>
      <c r="I63" s="12">
        <v>0</v>
      </c>
    </row>
    <row r="64" spans="2:9" ht="15" customHeight="1" x14ac:dyDescent="0.2">
      <c r="B64" t="s">
        <v>194</v>
      </c>
      <c r="C64" s="12">
        <v>128</v>
      </c>
      <c r="D64" s="8">
        <v>1.24</v>
      </c>
      <c r="E64" s="12">
        <v>5</v>
      </c>
      <c r="F64" s="8">
        <v>0.18</v>
      </c>
      <c r="G64" s="12">
        <v>123</v>
      </c>
      <c r="H64" s="8">
        <v>1.66</v>
      </c>
      <c r="I64" s="12">
        <v>0</v>
      </c>
    </row>
    <row r="65" spans="2:9" ht="15" customHeight="1" x14ac:dyDescent="0.2">
      <c r="B65" t="s">
        <v>195</v>
      </c>
      <c r="C65" s="12">
        <v>128</v>
      </c>
      <c r="D65" s="8">
        <v>1.24</v>
      </c>
      <c r="E65" s="12">
        <v>1</v>
      </c>
      <c r="F65" s="8">
        <v>0.04</v>
      </c>
      <c r="G65" s="12">
        <v>127</v>
      </c>
      <c r="H65" s="8">
        <v>1.71</v>
      </c>
      <c r="I65" s="12">
        <v>0</v>
      </c>
    </row>
    <row r="66" spans="2:9" ht="15" customHeight="1" x14ac:dyDescent="0.2">
      <c r="B66" t="s">
        <v>161</v>
      </c>
      <c r="C66" s="12">
        <v>128</v>
      </c>
      <c r="D66" s="8">
        <v>1.24</v>
      </c>
      <c r="E66" s="12">
        <v>59</v>
      </c>
      <c r="F66" s="8">
        <v>2.1</v>
      </c>
      <c r="G66" s="12">
        <v>69</v>
      </c>
      <c r="H66" s="8">
        <v>0.93</v>
      </c>
      <c r="I66" s="12">
        <v>0</v>
      </c>
    </row>
    <row r="68" spans="2:9" ht="15" customHeight="1" x14ac:dyDescent="0.2">
      <c r="B68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C0845-D94D-473B-97AC-EE1C545CB062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300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376</v>
      </c>
      <c r="D6" s="8">
        <v>3.79</v>
      </c>
      <c r="E6" s="12">
        <v>18</v>
      </c>
      <c r="F6" s="8">
        <v>0.45</v>
      </c>
      <c r="G6" s="12">
        <v>358</v>
      </c>
      <c r="H6" s="8">
        <v>6.04</v>
      </c>
      <c r="I6" s="12">
        <v>0</v>
      </c>
    </row>
    <row r="7" spans="2:9" ht="15" customHeight="1" x14ac:dyDescent="0.2">
      <c r="B7" t="s">
        <v>77</v>
      </c>
      <c r="C7" s="12">
        <v>202</v>
      </c>
      <c r="D7" s="8">
        <v>2.04</v>
      </c>
      <c r="E7" s="12">
        <v>37</v>
      </c>
      <c r="F7" s="8">
        <v>0.93</v>
      </c>
      <c r="G7" s="12">
        <v>165</v>
      </c>
      <c r="H7" s="8">
        <v>2.79</v>
      </c>
      <c r="I7" s="12">
        <v>0</v>
      </c>
    </row>
    <row r="8" spans="2:9" ht="15" customHeight="1" x14ac:dyDescent="0.2">
      <c r="B8" t="s">
        <v>78</v>
      </c>
      <c r="C8" s="12">
        <v>10</v>
      </c>
      <c r="D8" s="8">
        <v>0.1</v>
      </c>
      <c r="E8" s="12">
        <v>0</v>
      </c>
      <c r="F8" s="8">
        <v>0</v>
      </c>
      <c r="G8" s="12">
        <v>10</v>
      </c>
      <c r="H8" s="8">
        <v>0.17</v>
      </c>
      <c r="I8" s="12">
        <v>0</v>
      </c>
    </row>
    <row r="9" spans="2:9" ht="15" customHeight="1" x14ac:dyDescent="0.2">
      <c r="B9" t="s">
        <v>79</v>
      </c>
      <c r="C9" s="12">
        <v>377</v>
      </c>
      <c r="D9" s="8">
        <v>3.8</v>
      </c>
      <c r="E9" s="12">
        <v>25</v>
      </c>
      <c r="F9" s="8">
        <v>0.63</v>
      </c>
      <c r="G9" s="12">
        <v>352</v>
      </c>
      <c r="H9" s="8">
        <v>5.94</v>
      </c>
      <c r="I9" s="12">
        <v>0</v>
      </c>
    </row>
    <row r="10" spans="2:9" ht="15" customHeight="1" x14ac:dyDescent="0.2">
      <c r="B10" t="s">
        <v>80</v>
      </c>
      <c r="C10" s="12">
        <v>58</v>
      </c>
      <c r="D10" s="8">
        <v>0.57999999999999996</v>
      </c>
      <c r="E10" s="12">
        <v>0</v>
      </c>
      <c r="F10" s="8">
        <v>0</v>
      </c>
      <c r="G10" s="12">
        <v>58</v>
      </c>
      <c r="H10" s="8">
        <v>0.98</v>
      </c>
      <c r="I10" s="12">
        <v>0</v>
      </c>
    </row>
    <row r="11" spans="2:9" ht="15" customHeight="1" x14ac:dyDescent="0.2">
      <c r="B11" t="s">
        <v>81</v>
      </c>
      <c r="C11" s="12">
        <v>2254</v>
      </c>
      <c r="D11" s="8">
        <v>22.73</v>
      </c>
      <c r="E11" s="12">
        <v>570</v>
      </c>
      <c r="F11" s="8">
        <v>14.39</v>
      </c>
      <c r="G11" s="12">
        <v>1683</v>
      </c>
      <c r="H11" s="8">
        <v>28.41</v>
      </c>
      <c r="I11" s="12">
        <v>1</v>
      </c>
    </row>
    <row r="12" spans="2:9" ht="15" customHeight="1" x14ac:dyDescent="0.2">
      <c r="B12" t="s">
        <v>82</v>
      </c>
      <c r="C12" s="12">
        <v>98</v>
      </c>
      <c r="D12" s="8">
        <v>0.99</v>
      </c>
      <c r="E12" s="12">
        <v>4</v>
      </c>
      <c r="F12" s="8">
        <v>0.1</v>
      </c>
      <c r="G12" s="12">
        <v>94</v>
      </c>
      <c r="H12" s="8">
        <v>1.59</v>
      </c>
      <c r="I12" s="12">
        <v>0</v>
      </c>
    </row>
    <row r="13" spans="2:9" ht="15" customHeight="1" x14ac:dyDescent="0.2">
      <c r="B13" t="s">
        <v>83</v>
      </c>
      <c r="C13" s="12">
        <v>1207</v>
      </c>
      <c r="D13" s="8">
        <v>12.17</v>
      </c>
      <c r="E13" s="12">
        <v>164</v>
      </c>
      <c r="F13" s="8">
        <v>4.1399999999999997</v>
      </c>
      <c r="G13" s="12">
        <v>1041</v>
      </c>
      <c r="H13" s="8">
        <v>17.579999999999998</v>
      </c>
      <c r="I13" s="12">
        <v>2</v>
      </c>
    </row>
    <row r="14" spans="2:9" ht="15" customHeight="1" x14ac:dyDescent="0.2">
      <c r="B14" t="s">
        <v>84</v>
      </c>
      <c r="C14" s="12">
        <v>1432</v>
      </c>
      <c r="D14" s="8">
        <v>14.44</v>
      </c>
      <c r="E14" s="12">
        <v>724</v>
      </c>
      <c r="F14" s="8">
        <v>18.28</v>
      </c>
      <c r="G14" s="12">
        <v>707</v>
      </c>
      <c r="H14" s="8">
        <v>11.94</v>
      </c>
      <c r="I14" s="12">
        <v>1</v>
      </c>
    </row>
    <row r="15" spans="2:9" ht="15" customHeight="1" x14ac:dyDescent="0.2">
      <c r="B15" t="s">
        <v>85</v>
      </c>
      <c r="C15" s="12">
        <v>1685</v>
      </c>
      <c r="D15" s="8">
        <v>16.989999999999998</v>
      </c>
      <c r="E15" s="12">
        <v>1296</v>
      </c>
      <c r="F15" s="8">
        <v>32.72</v>
      </c>
      <c r="G15" s="12">
        <v>389</v>
      </c>
      <c r="H15" s="8">
        <v>6.57</v>
      </c>
      <c r="I15" s="12">
        <v>0</v>
      </c>
    </row>
    <row r="16" spans="2:9" ht="15" customHeight="1" x14ac:dyDescent="0.2">
      <c r="B16" t="s">
        <v>86</v>
      </c>
      <c r="C16" s="12">
        <v>1093</v>
      </c>
      <c r="D16" s="8">
        <v>11.02</v>
      </c>
      <c r="E16" s="12">
        <v>647</v>
      </c>
      <c r="F16" s="8">
        <v>16.329999999999998</v>
      </c>
      <c r="G16" s="12">
        <v>444</v>
      </c>
      <c r="H16" s="8">
        <v>7.5</v>
      </c>
      <c r="I16" s="12">
        <v>2</v>
      </c>
    </row>
    <row r="17" spans="2:9" ht="15" customHeight="1" x14ac:dyDescent="0.2">
      <c r="B17" t="s">
        <v>87</v>
      </c>
      <c r="C17" s="12">
        <v>357</v>
      </c>
      <c r="D17" s="8">
        <v>3.6</v>
      </c>
      <c r="E17" s="12">
        <v>177</v>
      </c>
      <c r="F17" s="8">
        <v>4.47</v>
      </c>
      <c r="G17" s="12">
        <v>165</v>
      </c>
      <c r="H17" s="8">
        <v>2.79</v>
      </c>
      <c r="I17" s="12">
        <v>1</v>
      </c>
    </row>
    <row r="18" spans="2:9" ht="15" customHeight="1" x14ac:dyDescent="0.2">
      <c r="B18" t="s">
        <v>88</v>
      </c>
      <c r="C18" s="12">
        <v>410</v>
      </c>
      <c r="D18" s="8">
        <v>4.13</v>
      </c>
      <c r="E18" s="12">
        <v>272</v>
      </c>
      <c r="F18" s="8">
        <v>6.87</v>
      </c>
      <c r="G18" s="12">
        <v>133</v>
      </c>
      <c r="H18" s="8">
        <v>2.25</v>
      </c>
      <c r="I18" s="12">
        <v>1</v>
      </c>
    </row>
    <row r="19" spans="2:9" ht="15" customHeight="1" x14ac:dyDescent="0.2">
      <c r="B19" t="s">
        <v>89</v>
      </c>
      <c r="C19" s="12">
        <v>358</v>
      </c>
      <c r="D19" s="8">
        <v>3.61</v>
      </c>
      <c r="E19" s="12">
        <v>27</v>
      </c>
      <c r="F19" s="8">
        <v>0.68</v>
      </c>
      <c r="G19" s="12">
        <v>324</v>
      </c>
      <c r="H19" s="8">
        <v>5.47</v>
      </c>
      <c r="I19" s="12">
        <v>5</v>
      </c>
    </row>
    <row r="20" spans="2:9" ht="15" customHeight="1" x14ac:dyDescent="0.2">
      <c r="B20" s="9" t="s">
        <v>285</v>
      </c>
      <c r="C20" s="12">
        <f>SUM(LTBL_40133[総数／事業所数])</f>
        <v>9917</v>
      </c>
      <c r="E20" s="12">
        <f>SUBTOTAL(109,LTBL_40133[個人／事業所数])</f>
        <v>3961</v>
      </c>
      <c r="G20" s="12">
        <f>SUBTOTAL(109,LTBL_40133[法人／事業所数])</f>
        <v>5923</v>
      </c>
      <c r="I20" s="12">
        <f>SUBTOTAL(109,LTBL_40133[法人以外の団体／事業所数])</f>
        <v>13</v>
      </c>
    </row>
    <row r="21" spans="2:9" ht="15" customHeight="1" x14ac:dyDescent="0.2">
      <c r="E21" s="11">
        <f>LTBL_40133[[#Totals],[個人／事業所数]]/LTBL_40133[[#Totals],[総数／事業所数]]</f>
        <v>0.39941514570938791</v>
      </c>
      <c r="G21" s="11">
        <f>LTBL_40133[[#Totals],[法人／事業所数]]/LTBL_40133[[#Totals],[総数／事業所数]]</f>
        <v>0.59725723505092265</v>
      </c>
      <c r="I21" s="11">
        <f>LTBL_40133[[#Totals],[法人以外の団体／事業所数]]/LTBL_40133[[#Totals],[総数／事業所数]]</f>
        <v>1.3108803065443179E-3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112</v>
      </c>
      <c r="C24" s="12">
        <v>1614</v>
      </c>
      <c r="D24" s="8">
        <v>16.28</v>
      </c>
      <c r="E24" s="12">
        <v>1279</v>
      </c>
      <c r="F24" s="8">
        <v>32.29</v>
      </c>
      <c r="G24" s="12">
        <v>335</v>
      </c>
      <c r="H24" s="8">
        <v>5.66</v>
      </c>
      <c r="I24" s="12">
        <v>0</v>
      </c>
    </row>
    <row r="25" spans="2:9" ht="15" customHeight="1" x14ac:dyDescent="0.2">
      <c r="B25" t="s">
        <v>110</v>
      </c>
      <c r="C25" s="12">
        <v>1047</v>
      </c>
      <c r="D25" s="8">
        <v>10.56</v>
      </c>
      <c r="E25" s="12">
        <v>649</v>
      </c>
      <c r="F25" s="8">
        <v>16.38</v>
      </c>
      <c r="G25" s="12">
        <v>398</v>
      </c>
      <c r="H25" s="8">
        <v>6.72</v>
      </c>
      <c r="I25" s="12">
        <v>0</v>
      </c>
    </row>
    <row r="26" spans="2:9" ht="15" customHeight="1" x14ac:dyDescent="0.2">
      <c r="B26" t="s">
        <v>113</v>
      </c>
      <c r="C26" s="12">
        <v>846</v>
      </c>
      <c r="D26" s="8">
        <v>8.5299999999999994</v>
      </c>
      <c r="E26" s="12">
        <v>586</v>
      </c>
      <c r="F26" s="8">
        <v>14.79</v>
      </c>
      <c r="G26" s="12">
        <v>260</v>
      </c>
      <c r="H26" s="8">
        <v>4.3899999999999997</v>
      </c>
      <c r="I26" s="12">
        <v>0</v>
      </c>
    </row>
    <row r="27" spans="2:9" ht="15" customHeight="1" x14ac:dyDescent="0.2">
      <c r="B27" t="s">
        <v>109</v>
      </c>
      <c r="C27" s="12">
        <v>840</v>
      </c>
      <c r="D27" s="8">
        <v>8.4700000000000006</v>
      </c>
      <c r="E27" s="12">
        <v>132</v>
      </c>
      <c r="F27" s="8">
        <v>3.33</v>
      </c>
      <c r="G27" s="12">
        <v>706</v>
      </c>
      <c r="H27" s="8">
        <v>11.92</v>
      </c>
      <c r="I27" s="12">
        <v>2</v>
      </c>
    </row>
    <row r="28" spans="2:9" ht="15" customHeight="1" x14ac:dyDescent="0.2">
      <c r="B28" t="s">
        <v>107</v>
      </c>
      <c r="C28" s="12">
        <v>565</v>
      </c>
      <c r="D28" s="8">
        <v>5.7</v>
      </c>
      <c r="E28" s="12">
        <v>225</v>
      </c>
      <c r="F28" s="8">
        <v>5.68</v>
      </c>
      <c r="G28" s="12">
        <v>340</v>
      </c>
      <c r="H28" s="8">
        <v>5.74</v>
      </c>
      <c r="I28" s="12">
        <v>0</v>
      </c>
    </row>
    <row r="29" spans="2:9" ht="15" customHeight="1" x14ac:dyDescent="0.2">
      <c r="B29" t="s">
        <v>104</v>
      </c>
      <c r="C29" s="12">
        <v>538</v>
      </c>
      <c r="D29" s="8">
        <v>5.43</v>
      </c>
      <c r="E29" s="12">
        <v>140</v>
      </c>
      <c r="F29" s="8">
        <v>3.53</v>
      </c>
      <c r="G29" s="12">
        <v>398</v>
      </c>
      <c r="H29" s="8">
        <v>6.72</v>
      </c>
      <c r="I29" s="12">
        <v>0</v>
      </c>
    </row>
    <row r="30" spans="2:9" ht="15" customHeight="1" x14ac:dyDescent="0.2">
      <c r="B30" t="s">
        <v>114</v>
      </c>
      <c r="C30" s="12">
        <v>357</v>
      </c>
      <c r="D30" s="8">
        <v>3.6</v>
      </c>
      <c r="E30" s="12">
        <v>177</v>
      </c>
      <c r="F30" s="8">
        <v>4.47</v>
      </c>
      <c r="G30" s="12">
        <v>165</v>
      </c>
      <c r="H30" s="8">
        <v>2.79</v>
      </c>
      <c r="I30" s="12">
        <v>1</v>
      </c>
    </row>
    <row r="31" spans="2:9" ht="15" customHeight="1" x14ac:dyDescent="0.2">
      <c r="B31" t="s">
        <v>115</v>
      </c>
      <c r="C31" s="12">
        <v>330</v>
      </c>
      <c r="D31" s="8">
        <v>3.33</v>
      </c>
      <c r="E31" s="12">
        <v>265</v>
      </c>
      <c r="F31" s="8">
        <v>6.69</v>
      </c>
      <c r="G31" s="12">
        <v>65</v>
      </c>
      <c r="H31" s="8">
        <v>1.1000000000000001</v>
      </c>
      <c r="I31" s="12">
        <v>0</v>
      </c>
    </row>
    <row r="32" spans="2:9" ht="15" customHeight="1" x14ac:dyDescent="0.2">
      <c r="B32" t="s">
        <v>108</v>
      </c>
      <c r="C32" s="12">
        <v>321</v>
      </c>
      <c r="D32" s="8">
        <v>3.24</v>
      </c>
      <c r="E32" s="12">
        <v>29</v>
      </c>
      <c r="F32" s="8">
        <v>0.73</v>
      </c>
      <c r="G32" s="12">
        <v>292</v>
      </c>
      <c r="H32" s="8">
        <v>4.93</v>
      </c>
      <c r="I32" s="12">
        <v>0</v>
      </c>
    </row>
    <row r="33" spans="2:9" ht="15" customHeight="1" x14ac:dyDescent="0.2">
      <c r="B33" t="s">
        <v>111</v>
      </c>
      <c r="C33" s="12">
        <v>271</v>
      </c>
      <c r="D33" s="8">
        <v>2.73</v>
      </c>
      <c r="E33" s="12">
        <v>67</v>
      </c>
      <c r="F33" s="8">
        <v>1.69</v>
      </c>
      <c r="G33" s="12">
        <v>203</v>
      </c>
      <c r="H33" s="8">
        <v>3.43</v>
      </c>
      <c r="I33" s="12">
        <v>1</v>
      </c>
    </row>
    <row r="34" spans="2:9" ht="15" customHeight="1" x14ac:dyDescent="0.2">
      <c r="B34" t="s">
        <v>105</v>
      </c>
      <c r="C34" s="12">
        <v>266</v>
      </c>
      <c r="D34" s="8">
        <v>2.68</v>
      </c>
      <c r="E34" s="12">
        <v>145</v>
      </c>
      <c r="F34" s="8">
        <v>3.66</v>
      </c>
      <c r="G34" s="12">
        <v>120</v>
      </c>
      <c r="H34" s="8">
        <v>2.0299999999999998</v>
      </c>
      <c r="I34" s="12">
        <v>1</v>
      </c>
    </row>
    <row r="35" spans="2:9" ht="15" customHeight="1" x14ac:dyDescent="0.2">
      <c r="B35" t="s">
        <v>117</v>
      </c>
      <c r="C35" s="12">
        <v>263</v>
      </c>
      <c r="D35" s="8">
        <v>2.65</v>
      </c>
      <c r="E35" s="12">
        <v>14</v>
      </c>
      <c r="F35" s="8">
        <v>0.35</v>
      </c>
      <c r="G35" s="12">
        <v>243</v>
      </c>
      <c r="H35" s="8">
        <v>4.0999999999999996</v>
      </c>
      <c r="I35" s="12">
        <v>5</v>
      </c>
    </row>
    <row r="36" spans="2:9" ht="15" customHeight="1" x14ac:dyDescent="0.2">
      <c r="B36" t="s">
        <v>103</v>
      </c>
      <c r="C36" s="12">
        <v>191</v>
      </c>
      <c r="D36" s="8">
        <v>1.93</v>
      </c>
      <c r="E36" s="12">
        <v>9</v>
      </c>
      <c r="F36" s="8">
        <v>0.23</v>
      </c>
      <c r="G36" s="12">
        <v>182</v>
      </c>
      <c r="H36" s="8">
        <v>3.07</v>
      </c>
      <c r="I36" s="12">
        <v>0</v>
      </c>
    </row>
    <row r="37" spans="2:9" ht="15" customHeight="1" x14ac:dyDescent="0.2">
      <c r="B37" t="s">
        <v>98</v>
      </c>
      <c r="C37" s="12">
        <v>164</v>
      </c>
      <c r="D37" s="8">
        <v>1.65</v>
      </c>
      <c r="E37" s="12">
        <v>4</v>
      </c>
      <c r="F37" s="8">
        <v>0.1</v>
      </c>
      <c r="G37" s="12">
        <v>160</v>
      </c>
      <c r="H37" s="8">
        <v>2.7</v>
      </c>
      <c r="I37" s="12">
        <v>0</v>
      </c>
    </row>
    <row r="38" spans="2:9" ht="15" customHeight="1" x14ac:dyDescent="0.2">
      <c r="B38" t="s">
        <v>102</v>
      </c>
      <c r="C38" s="12">
        <v>156</v>
      </c>
      <c r="D38" s="8">
        <v>1.57</v>
      </c>
      <c r="E38" s="12">
        <v>3</v>
      </c>
      <c r="F38" s="8">
        <v>0.08</v>
      </c>
      <c r="G38" s="12">
        <v>153</v>
      </c>
      <c r="H38" s="8">
        <v>2.58</v>
      </c>
      <c r="I38" s="12">
        <v>0</v>
      </c>
    </row>
    <row r="39" spans="2:9" ht="15" customHeight="1" x14ac:dyDescent="0.2">
      <c r="B39" t="s">
        <v>118</v>
      </c>
      <c r="C39" s="12">
        <v>156</v>
      </c>
      <c r="D39" s="8">
        <v>1.57</v>
      </c>
      <c r="E39" s="12">
        <v>37</v>
      </c>
      <c r="F39" s="8">
        <v>0.93</v>
      </c>
      <c r="G39" s="12">
        <v>119</v>
      </c>
      <c r="H39" s="8">
        <v>2.0099999999999998</v>
      </c>
      <c r="I39" s="12">
        <v>0</v>
      </c>
    </row>
    <row r="40" spans="2:9" ht="15" customHeight="1" x14ac:dyDescent="0.2">
      <c r="B40" t="s">
        <v>124</v>
      </c>
      <c r="C40" s="12">
        <v>145</v>
      </c>
      <c r="D40" s="8">
        <v>1.46</v>
      </c>
      <c r="E40" s="12">
        <v>8</v>
      </c>
      <c r="F40" s="8">
        <v>0.2</v>
      </c>
      <c r="G40" s="12">
        <v>137</v>
      </c>
      <c r="H40" s="8">
        <v>2.31</v>
      </c>
      <c r="I40" s="12">
        <v>0</v>
      </c>
    </row>
    <row r="41" spans="2:9" ht="15" customHeight="1" x14ac:dyDescent="0.2">
      <c r="B41" t="s">
        <v>126</v>
      </c>
      <c r="C41" s="12">
        <v>144</v>
      </c>
      <c r="D41" s="8">
        <v>1.45</v>
      </c>
      <c r="E41" s="12">
        <v>4</v>
      </c>
      <c r="F41" s="8">
        <v>0.1</v>
      </c>
      <c r="G41" s="12">
        <v>140</v>
      </c>
      <c r="H41" s="8">
        <v>2.36</v>
      </c>
      <c r="I41" s="12">
        <v>0</v>
      </c>
    </row>
    <row r="42" spans="2:9" ht="15" customHeight="1" x14ac:dyDescent="0.2">
      <c r="B42" t="s">
        <v>125</v>
      </c>
      <c r="C42" s="12">
        <v>143</v>
      </c>
      <c r="D42" s="8">
        <v>1.44</v>
      </c>
      <c r="E42" s="12">
        <v>3</v>
      </c>
      <c r="F42" s="8">
        <v>0.08</v>
      </c>
      <c r="G42" s="12">
        <v>140</v>
      </c>
      <c r="H42" s="8">
        <v>2.36</v>
      </c>
      <c r="I42" s="12">
        <v>0</v>
      </c>
    </row>
    <row r="43" spans="2:9" ht="15" customHeight="1" x14ac:dyDescent="0.2">
      <c r="B43" t="s">
        <v>101</v>
      </c>
      <c r="C43" s="12">
        <v>142</v>
      </c>
      <c r="D43" s="8">
        <v>1.43</v>
      </c>
      <c r="E43" s="12">
        <v>2</v>
      </c>
      <c r="F43" s="8">
        <v>0.05</v>
      </c>
      <c r="G43" s="12">
        <v>140</v>
      </c>
      <c r="H43" s="8">
        <v>2.36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166</v>
      </c>
      <c r="C47" s="12">
        <v>500</v>
      </c>
      <c r="D47" s="8">
        <v>5.04</v>
      </c>
      <c r="E47" s="12">
        <v>371</v>
      </c>
      <c r="F47" s="8">
        <v>9.3699999999999992</v>
      </c>
      <c r="G47" s="12">
        <v>129</v>
      </c>
      <c r="H47" s="8">
        <v>2.1800000000000002</v>
      </c>
      <c r="I47" s="12">
        <v>0</v>
      </c>
    </row>
    <row r="48" spans="2:9" ht="15" customHeight="1" x14ac:dyDescent="0.2">
      <c r="B48" t="s">
        <v>170</v>
      </c>
      <c r="C48" s="12">
        <v>465</v>
      </c>
      <c r="D48" s="8">
        <v>4.6900000000000004</v>
      </c>
      <c r="E48" s="12">
        <v>357</v>
      </c>
      <c r="F48" s="8">
        <v>9.01</v>
      </c>
      <c r="G48" s="12">
        <v>108</v>
      </c>
      <c r="H48" s="8">
        <v>1.82</v>
      </c>
      <c r="I48" s="12">
        <v>0</v>
      </c>
    </row>
    <row r="49" spans="2:9" ht="15" customHeight="1" x14ac:dyDescent="0.2">
      <c r="B49" t="s">
        <v>167</v>
      </c>
      <c r="C49" s="12">
        <v>408</v>
      </c>
      <c r="D49" s="8">
        <v>4.1100000000000003</v>
      </c>
      <c r="E49" s="12">
        <v>336</v>
      </c>
      <c r="F49" s="8">
        <v>8.48</v>
      </c>
      <c r="G49" s="12">
        <v>72</v>
      </c>
      <c r="H49" s="8">
        <v>1.22</v>
      </c>
      <c r="I49" s="12">
        <v>0</v>
      </c>
    </row>
    <row r="50" spans="2:9" ht="15" customHeight="1" x14ac:dyDescent="0.2">
      <c r="B50" t="s">
        <v>168</v>
      </c>
      <c r="C50" s="12">
        <v>373</v>
      </c>
      <c r="D50" s="8">
        <v>3.76</v>
      </c>
      <c r="E50" s="12">
        <v>326</v>
      </c>
      <c r="F50" s="8">
        <v>8.23</v>
      </c>
      <c r="G50" s="12">
        <v>47</v>
      </c>
      <c r="H50" s="8">
        <v>0.79</v>
      </c>
      <c r="I50" s="12">
        <v>0</v>
      </c>
    </row>
    <row r="51" spans="2:9" ht="15" customHeight="1" x14ac:dyDescent="0.2">
      <c r="B51" t="s">
        <v>164</v>
      </c>
      <c r="C51" s="12">
        <v>362</v>
      </c>
      <c r="D51" s="8">
        <v>3.65</v>
      </c>
      <c r="E51" s="12">
        <v>69</v>
      </c>
      <c r="F51" s="8">
        <v>1.74</v>
      </c>
      <c r="G51" s="12">
        <v>293</v>
      </c>
      <c r="H51" s="8">
        <v>4.95</v>
      </c>
      <c r="I51" s="12">
        <v>0</v>
      </c>
    </row>
    <row r="52" spans="2:9" ht="15" customHeight="1" x14ac:dyDescent="0.2">
      <c r="B52" t="s">
        <v>163</v>
      </c>
      <c r="C52" s="12">
        <v>259</v>
      </c>
      <c r="D52" s="8">
        <v>2.61</v>
      </c>
      <c r="E52" s="12">
        <v>36</v>
      </c>
      <c r="F52" s="8">
        <v>0.91</v>
      </c>
      <c r="G52" s="12">
        <v>222</v>
      </c>
      <c r="H52" s="8">
        <v>3.75</v>
      </c>
      <c r="I52" s="12">
        <v>1</v>
      </c>
    </row>
    <row r="53" spans="2:9" ht="15" customHeight="1" x14ac:dyDescent="0.2">
      <c r="B53" t="s">
        <v>171</v>
      </c>
      <c r="C53" s="12">
        <v>242</v>
      </c>
      <c r="D53" s="8">
        <v>2.44</v>
      </c>
      <c r="E53" s="12">
        <v>155</v>
      </c>
      <c r="F53" s="8">
        <v>3.91</v>
      </c>
      <c r="G53" s="12">
        <v>86</v>
      </c>
      <c r="H53" s="8">
        <v>1.45</v>
      </c>
      <c r="I53" s="12">
        <v>1</v>
      </c>
    </row>
    <row r="54" spans="2:9" ht="15" customHeight="1" x14ac:dyDescent="0.2">
      <c r="B54" t="s">
        <v>157</v>
      </c>
      <c r="C54" s="12">
        <v>239</v>
      </c>
      <c r="D54" s="8">
        <v>2.41</v>
      </c>
      <c r="E54" s="12">
        <v>69</v>
      </c>
      <c r="F54" s="8">
        <v>1.74</v>
      </c>
      <c r="G54" s="12">
        <v>170</v>
      </c>
      <c r="H54" s="8">
        <v>2.87</v>
      </c>
      <c r="I54" s="12">
        <v>0</v>
      </c>
    </row>
    <row r="55" spans="2:9" ht="15" customHeight="1" x14ac:dyDescent="0.2">
      <c r="B55" t="s">
        <v>172</v>
      </c>
      <c r="C55" s="12">
        <v>239</v>
      </c>
      <c r="D55" s="8">
        <v>2.41</v>
      </c>
      <c r="E55" s="12">
        <v>190</v>
      </c>
      <c r="F55" s="8">
        <v>4.8</v>
      </c>
      <c r="G55" s="12">
        <v>49</v>
      </c>
      <c r="H55" s="8">
        <v>0.83</v>
      </c>
      <c r="I55" s="12">
        <v>0</v>
      </c>
    </row>
    <row r="56" spans="2:9" ht="15" customHeight="1" x14ac:dyDescent="0.2">
      <c r="B56" t="s">
        <v>162</v>
      </c>
      <c r="C56" s="12">
        <v>230</v>
      </c>
      <c r="D56" s="8">
        <v>2.3199999999999998</v>
      </c>
      <c r="E56" s="12">
        <v>23</v>
      </c>
      <c r="F56" s="8">
        <v>0.57999999999999996</v>
      </c>
      <c r="G56" s="12">
        <v>207</v>
      </c>
      <c r="H56" s="8">
        <v>3.49</v>
      </c>
      <c r="I56" s="12">
        <v>0</v>
      </c>
    </row>
    <row r="57" spans="2:9" ht="15" customHeight="1" x14ac:dyDescent="0.2">
      <c r="B57" t="s">
        <v>165</v>
      </c>
      <c r="C57" s="12">
        <v>219</v>
      </c>
      <c r="D57" s="8">
        <v>2.21</v>
      </c>
      <c r="E57" s="12">
        <v>51</v>
      </c>
      <c r="F57" s="8">
        <v>1.29</v>
      </c>
      <c r="G57" s="12">
        <v>168</v>
      </c>
      <c r="H57" s="8">
        <v>2.84</v>
      </c>
      <c r="I57" s="12">
        <v>0</v>
      </c>
    </row>
    <row r="58" spans="2:9" ht="15" customHeight="1" x14ac:dyDescent="0.2">
      <c r="B58" t="s">
        <v>198</v>
      </c>
      <c r="C58" s="12">
        <v>217</v>
      </c>
      <c r="D58" s="8">
        <v>2.19</v>
      </c>
      <c r="E58" s="12">
        <v>205</v>
      </c>
      <c r="F58" s="8">
        <v>5.18</v>
      </c>
      <c r="G58" s="12">
        <v>12</v>
      </c>
      <c r="H58" s="8">
        <v>0.2</v>
      </c>
      <c r="I58" s="12">
        <v>0</v>
      </c>
    </row>
    <row r="59" spans="2:9" ht="15" customHeight="1" x14ac:dyDescent="0.2">
      <c r="B59" t="s">
        <v>161</v>
      </c>
      <c r="C59" s="12">
        <v>214</v>
      </c>
      <c r="D59" s="8">
        <v>2.16</v>
      </c>
      <c r="E59" s="12">
        <v>111</v>
      </c>
      <c r="F59" s="8">
        <v>2.8</v>
      </c>
      <c r="G59" s="12">
        <v>103</v>
      </c>
      <c r="H59" s="8">
        <v>1.74</v>
      </c>
      <c r="I59" s="12">
        <v>0</v>
      </c>
    </row>
    <row r="60" spans="2:9" ht="15" customHeight="1" x14ac:dyDescent="0.2">
      <c r="B60" t="s">
        <v>201</v>
      </c>
      <c r="C60" s="12">
        <v>199</v>
      </c>
      <c r="D60" s="8">
        <v>2.0099999999999998</v>
      </c>
      <c r="E60" s="12">
        <v>128</v>
      </c>
      <c r="F60" s="8">
        <v>3.23</v>
      </c>
      <c r="G60" s="12">
        <v>71</v>
      </c>
      <c r="H60" s="8">
        <v>1.2</v>
      </c>
      <c r="I60" s="12">
        <v>0</v>
      </c>
    </row>
    <row r="61" spans="2:9" ht="15" customHeight="1" x14ac:dyDescent="0.2">
      <c r="B61" t="s">
        <v>190</v>
      </c>
      <c r="C61" s="12">
        <v>185</v>
      </c>
      <c r="D61" s="8">
        <v>1.87</v>
      </c>
      <c r="E61" s="12">
        <v>12</v>
      </c>
      <c r="F61" s="8">
        <v>0.3</v>
      </c>
      <c r="G61" s="12">
        <v>167</v>
      </c>
      <c r="H61" s="8">
        <v>2.82</v>
      </c>
      <c r="I61" s="12">
        <v>5</v>
      </c>
    </row>
    <row r="62" spans="2:9" ht="15" customHeight="1" x14ac:dyDescent="0.2">
      <c r="B62" t="s">
        <v>200</v>
      </c>
      <c r="C62" s="12">
        <v>179</v>
      </c>
      <c r="D62" s="8">
        <v>1.8</v>
      </c>
      <c r="E62" s="12">
        <v>158</v>
      </c>
      <c r="F62" s="8">
        <v>3.99</v>
      </c>
      <c r="G62" s="12">
        <v>21</v>
      </c>
      <c r="H62" s="8">
        <v>0.35</v>
      </c>
      <c r="I62" s="12">
        <v>0</v>
      </c>
    </row>
    <row r="63" spans="2:9" ht="15" customHeight="1" x14ac:dyDescent="0.2">
      <c r="B63" t="s">
        <v>189</v>
      </c>
      <c r="C63" s="12">
        <v>167</v>
      </c>
      <c r="D63" s="8">
        <v>1.68</v>
      </c>
      <c r="E63" s="12">
        <v>16</v>
      </c>
      <c r="F63" s="8">
        <v>0.4</v>
      </c>
      <c r="G63" s="12">
        <v>151</v>
      </c>
      <c r="H63" s="8">
        <v>2.5499999999999998</v>
      </c>
      <c r="I63" s="12">
        <v>0</v>
      </c>
    </row>
    <row r="64" spans="2:9" ht="15" customHeight="1" x14ac:dyDescent="0.2">
      <c r="B64" t="s">
        <v>188</v>
      </c>
      <c r="C64" s="12">
        <v>157</v>
      </c>
      <c r="D64" s="8">
        <v>1.58</v>
      </c>
      <c r="E64" s="12">
        <v>8</v>
      </c>
      <c r="F64" s="8">
        <v>0.2</v>
      </c>
      <c r="G64" s="12">
        <v>148</v>
      </c>
      <c r="H64" s="8">
        <v>2.5</v>
      </c>
      <c r="I64" s="12">
        <v>1</v>
      </c>
    </row>
    <row r="65" spans="2:9" ht="15" customHeight="1" x14ac:dyDescent="0.2">
      <c r="B65" t="s">
        <v>199</v>
      </c>
      <c r="C65" s="12">
        <v>153</v>
      </c>
      <c r="D65" s="8">
        <v>1.54</v>
      </c>
      <c r="E65" s="12">
        <v>148</v>
      </c>
      <c r="F65" s="8">
        <v>3.74</v>
      </c>
      <c r="G65" s="12">
        <v>5</v>
      </c>
      <c r="H65" s="8">
        <v>0.08</v>
      </c>
      <c r="I65" s="12">
        <v>0</v>
      </c>
    </row>
    <row r="66" spans="2:9" ht="15" customHeight="1" x14ac:dyDescent="0.2">
      <c r="B66" t="s">
        <v>197</v>
      </c>
      <c r="C66" s="12">
        <v>147</v>
      </c>
      <c r="D66" s="8">
        <v>1.48</v>
      </c>
      <c r="E66" s="12">
        <v>9</v>
      </c>
      <c r="F66" s="8">
        <v>0.23</v>
      </c>
      <c r="G66" s="12">
        <v>138</v>
      </c>
      <c r="H66" s="8">
        <v>2.33</v>
      </c>
      <c r="I66" s="12">
        <v>0</v>
      </c>
    </row>
    <row r="68" spans="2:9" ht="15" customHeight="1" x14ac:dyDescent="0.2">
      <c r="B68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7D20C-386E-48E0-81F5-2E6C1D9DEA77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301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723</v>
      </c>
      <c r="D6" s="8">
        <v>13.75</v>
      </c>
      <c r="E6" s="12">
        <v>92</v>
      </c>
      <c r="F6" s="8">
        <v>4.08</v>
      </c>
      <c r="G6" s="12">
        <v>631</v>
      </c>
      <c r="H6" s="8">
        <v>21.34</v>
      </c>
      <c r="I6" s="12">
        <v>0</v>
      </c>
    </row>
    <row r="7" spans="2:9" ht="15" customHeight="1" x14ac:dyDescent="0.2">
      <c r="B7" t="s">
        <v>77</v>
      </c>
      <c r="C7" s="12">
        <v>227</v>
      </c>
      <c r="D7" s="8">
        <v>4.32</v>
      </c>
      <c r="E7" s="12">
        <v>71</v>
      </c>
      <c r="F7" s="8">
        <v>3.15</v>
      </c>
      <c r="G7" s="12">
        <v>156</v>
      </c>
      <c r="H7" s="8">
        <v>5.28</v>
      </c>
      <c r="I7" s="12">
        <v>0</v>
      </c>
    </row>
    <row r="8" spans="2:9" ht="15" customHeight="1" x14ac:dyDescent="0.2">
      <c r="B8" t="s">
        <v>78</v>
      </c>
      <c r="C8" s="12">
        <v>8</v>
      </c>
      <c r="D8" s="8">
        <v>0.15</v>
      </c>
      <c r="E8" s="12">
        <v>0</v>
      </c>
      <c r="F8" s="8">
        <v>0</v>
      </c>
      <c r="G8" s="12">
        <v>7</v>
      </c>
      <c r="H8" s="8">
        <v>0.24</v>
      </c>
      <c r="I8" s="12">
        <v>0</v>
      </c>
    </row>
    <row r="9" spans="2:9" ht="15" customHeight="1" x14ac:dyDescent="0.2">
      <c r="B9" t="s">
        <v>79</v>
      </c>
      <c r="C9" s="12">
        <v>67</v>
      </c>
      <c r="D9" s="8">
        <v>1.27</v>
      </c>
      <c r="E9" s="12">
        <v>8</v>
      </c>
      <c r="F9" s="8">
        <v>0.35</v>
      </c>
      <c r="G9" s="12">
        <v>59</v>
      </c>
      <c r="H9" s="8">
        <v>2</v>
      </c>
      <c r="I9" s="12">
        <v>0</v>
      </c>
    </row>
    <row r="10" spans="2:9" ht="15" customHeight="1" x14ac:dyDescent="0.2">
      <c r="B10" t="s">
        <v>80</v>
      </c>
      <c r="C10" s="12">
        <v>26</v>
      </c>
      <c r="D10" s="8">
        <v>0.49</v>
      </c>
      <c r="E10" s="12">
        <v>13</v>
      </c>
      <c r="F10" s="8">
        <v>0.57999999999999996</v>
      </c>
      <c r="G10" s="12">
        <v>13</v>
      </c>
      <c r="H10" s="8">
        <v>0.44</v>
      </c>
      <c r="I10" s="12">
        <v>0</v>
      </c>
    </row>
    <row r="11" spans="2:9" ht="15" customHeight="1" x14ac:dyDescent="0.2">
      <c r="B11" t="s">
        <v>81</v>
      </c>
      <c r="C11" s="12">
        <v>1141</v>
      </c>
      <c r="D11" s="8">
        <v>21.7</v>
      </c>
      <c r="E11" s="12">
        <v>442</v>
      </c>
      <c r="F11" s="8">
        <v>19.600000000000001</v>
      </c>
      <c r="G11" s="12">
        <v>699</v>
      </c>
      <c r="H11" s="8">
        <v>23.64</v>
      </c>
      <c r="I11" s="12">
        <v>0</v>
      </c>
    </row>
    <row r="12" spans="2:9" ht="15" customHeight="1" x14ac:dyDescent="0.2">
      <c r="B12" t="s">
        <v>82</v>
      </c>
      <c r="C12" s="12">
        <v>35</v>
      </c>
      <c r="D12" s="8">
        <v>0.67</v>
      </c>
      <c r="E12" s="12">
        <v>3</v>
      </c>
      <c r="F12" s="8">
        <v>0.13</v>
      </c>
      <c r="G12" s="12">
        <v>32</v>
      </c>
      <c r="H12" s="8">
        <v>1.08</v>
      </c>
      <c r="I12" s="12">
        <v>0</v>
      </c>
    </row>
    <row r="13" spans="2:9" ht="15" customHeight="1" x14ac:dyDescent="0.2">
      <c r="B13" t="s">
        <v>83</v>
      </c>
      <c r="C13" s="12">
        <v>776</v>
      </c>
      <c r="D13" s="8">
        <v>14.76</v>
      </c>
      <c r="E13" s="12">
        <v>216</v>
      </c>
      <c r="F13" s="8">
        <v>9.58</v>
      </c>
      <c r="G13" s="12">
        <v>558</v>
      </c>
      <c r="H13" s="8">
        <v>18.87</v>
      </c>
      <c r="I13" s="12">
        <v>2</v>
      </c>
    </row>
    <row r="14" spans="2:9" ht="15" customHeight="1" x14ac:dyDescent="0.2">
      <c r="B14" t="s">
        <v>84</v>
      </c>
      <c r="C14" s="12">
        <v>401</v>
      </c>
      <c r="D14" s="8">
        <v>7.63</v>
      </c>
      <c r="E14" s="12">
        <v>139</v>
      </c>
      <c r="F14" s="8">
        <v>6.16</v>
      </c>
      <c r="G14" s="12">
        <v>262</v>
      </c>
      <c r="H14" s="8">
        <v>8.86</v>
      </c>
      <c r="I14" s="12">
        <v>0</v>
      </c>
    </row>
    <row r="15" spans="2:9" ht="15" customHeight="1" x14ac:dyDescent="0.2">
      <c r="B15" t="s">
        <v>85</v>
      </c>
      <c r="C15" s="12">
        <v>532</v>
      </c>
      <c r="D15" s="8">
        <v>10.119999999999999</v>
      </c>
      <c r="E15" s="12">
        <v>442</v>
      </c>
      <c r="F15" s="8">
        <v>19.600000000000001</v>
      </c>
      <c r="G15" s="12">
        <v>90</v>
      </c>
      <c r="H15" s="8">
        <v>3.04</v>
      </c>
      <c r="I15" s="12">
        <v>0</v>
      </c>
    </row>
    <row r="16" spans="2:9" ht="15" customHeight="1" x14ac:dyDescent="0.2">
      <c r="B16" t="s">
        <v>86</v>
      </c>
      <c r="C16" s="12">
        <v>639</v>
      </c>
      <c r="D16" s="8">
        <v>12.15</v>
      </c>
      <c r="E16" s="12">
        <v>467</v>
      </c>
      <c r="F16" s="8">
        <v>20.71</v>
      </c>
      <c r="G16" s="12">
        <v>172</v>
      </c>
      <c r="H16" s="8">
        <v>5.82</v>
      </c>
      <c r="I16" s="12">
        <v>0</v>
      </c>
    </row>
    <row r="17" spans="2:9" ht="15" customHeight="1" x14ac:dyDescent="0.2">
      <c r="B17" t="s">
        <v>87</v>
      </c>
      <c r="C17" s="12">
        <v>224</v>
      </c>
      <c r="D17" s="8">
        <v>4.26</v>
      </c>
      <c r="E17" s="12">
        <v>136</v>
      </c>
      <c r="F17" s="8">
        <v>6.03</v>
      </c>
      <c r="G17" s="12">
        <v>62</v>
      </c>
      <c r="H17" s="8">
        <v>2.1</v>
      </c>
      <c r="I17" s="12">
        <v>1</v>
      </c>
    </row>
    <row r="18" spans="2:9" ht="15" customHeight="1" x14ac:dyDescent="0.2">
      <c r="B18" t="s">
        <v>88</v>
      </c>
      <c r="C18" s="12">
        <v>313</v>
      </c>
      <c r="D18" s="8">
        <v>5.95</v>
      </c>
      <c r="E18" s="12">
        <v>183</v>
      </c>
      <c r="F18" s="8">
        <v>8.1199999999999992</v>
      </c>
      <c r="G18" s="12">
        <v>115</v>
      </c>
      <c r="H18" s="8">
        <v>3.89</v>
      </c>
      <c r="I18" s="12">
        <v>1</v>
      </c>
    </row>
    <row r="19" spans="2:9" ht="15" customHeight="1" x14ac:dyDescent="0.2">
      <c r="B19" t="s">
        <v>89</v>
      </c>
      <c r="C19" s="12">
        <v>146</v>
      </c>
      <c r="D19" s="8">
        <v>2.78</v>
      </c>
      <c r="E19" s="12">
        <v>43</v>
      </c>
      <c r="F19" s="8">
        <v>1.91</v>
      </c>
      <c r="G19" s="12">
        <v>101</v>
      </c>
      <c r="H19" s="8">
        <v>3.42</v>
      </c>
      <c r="I19" s="12">
        <v>2</v>
      </c>
    </row>
    <row r="20" spans="2:9" ht="15" customHeight="1" x14ac:dyDescent="0.2">
      <c r="B20" s="9" t="s">
        <v>285</v>
      </c>
      <c r="C20" s="12">
        <f>SUM(LTBL_40134[総数／事業所数])</f>
        <v>5258</v>
      </c>
      <c r="E20" s="12">
        <f>SUBTOTAL(109,LTBL_40134[個人／事業所数])</f>
        <v>2255</v>
      </c>
      <c r="G20" s="12">
        <f>SUBTOTAL(109,LTBL_40134[法人／事業所数])</f>
        <v>2957</v>
      </c>
      <c r="I20" s="12">
        <f>SUBTOTAL(109,LTBL_40134[法人以外の団体／事業所数])</f>
        <v>6</v>
      </c>
    </row>
    <row r="21" spans="2:9" ht="15" customHeight="1" x14ac:dyDescent="0.2">
      <c r="E21" s="11">
        <f>LTBL_40134[[#Totals],[個人／事業所数]]/LTBL_40134[[#Totals],[総数／事業所数]]</f>
        <v>0.42887029288702927</v>
      </c>
      <c r="G21" s="11">
        <f>LTBL_40134[[#Totals],[法人／事業所数]]/LTBL_40134[[#Totals],[総数／事業所数]]</f>
        <v>0.56238113351084063</v>
      </c>
      <c r="I21" s="11">
        <f>LTBL_40134[[#Totals],[法人以外の団体／事業所数]]/LTBL_40134[[#Totals],[総数／事業所数]]</f>
        <v>1.1411182959300114E-3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109</v>
      </c>
      <c r="C24" s="12">
        <v>607</v>
      </c>
      <c r="D24" s="8">
        <v>11.54</v>
      </c>
      <c r="E24" s="12">
        <v>189</v>
      </c>
      <c r="F24" s="8">
        <v>8.3800000000000008</v>
      </c>
      <c r="G24" s="12">
        <v>416</v>
      </c>
      <c r="H24" s="8">
        <v>14.07</v>
      </c>
      <c r="I24" s="12">
        <v>2</v>
      </c>
    </row>
    <row r="25" spans="2:9" ht="15" customHeight="1" x14ac:dyDescent="0.2">
      <c r="B25" t="s">
        <v>113</v>
      </c>
      <c r="C25" s="12">
        <v>523</v>
      </c>
      <c r="D25" s="8">
        <v>9.9499999999999993</v>
      </c>
      <c r="E25" s="12">
        <v>409</v>
      </c>
      <c r="F25" s="8">
        <v>18.14</v>
      </c>
      <c r="G25" s="12">
        <v>114</v>
      </c>
      <c r="H25" s="8">
        <v>3.86</v>
      </c>
      <c r="I25" s="12">
        <v>0</v>
      </c>
    </row>
    <row r="26" spans="2:9" ht="15" customHeight="1" x14ac:dyDescent="0.2">
      <c r="B26" t="s">
        <v>112</v>
      </c>
      <c r="C26" s="12">
        <v>488</v>
      </c>
      <c r="D26" s="8">
        <v>9.2799999999999994</v>
      </c>
      <c r="E26" s="12">
        <v>428</v>
      </c>
      <c r="F26" s="8">
        <v>18.98</v>
      </c>
      <c r="G26" s="12">
        <v>60</v>
      </c>
      <c r="H26" s="8">
        <v>2.0299999999999998</v>
      </c>
      <c r="I26" s="12">
        <v>0</v>
      </c>
    </row>
    <row r="27" spans="2:9" ht="15" customHeight="1" x14ac:dyDescent="0.2">
      <c r="B27" t="s">
        <v>107</v>
      </c>
      <c r="C27" s="12">
        <v>299</v>
      </c>
      <c r="D27" s="8">
        <v>5.69</v>
      </c>
      <c r="E27" s="12">
        <v>127</v>
      </c>
      <c r="F27" s="8">
        <v>5.63</v>
      </c>
      <c r="G27" s="12">
        <v>172</v>
      </c>
      <c r="H27" s="8">
        <v>5.82</v>
      </c>
      <c r="I27" s="12">
        <v>0</v>
      </c>
    </row>
    <row r="28" spans="2:9" ht="15" customHeight="1" x14ac:dyDescent="0.2">
      <c r="B28" t="s">
        <v>98</v>
      </c>
      <c r="C28" s="12">
        <v>292</v>
      </c>
      <c r="D28" s="8">
        <v>5.55</v>
      </c>
      <c r="E28" s="12">
        <v>30</v>
      </c>
      <c r="F28" s="8">
        <v>1.33</v>
      </c>
      <c r="G28" s="12">
        <v>262</v>
      </c>
      <c r="H28" s="8">
        <v>8.86</v>
      </c>
      <c r="I28" s="12">
        <v>0</v>
      </c>
    </row>
    <row r="29" spans="2:9" ht="15" customHeight="1" x14ac:dyDescent="0.2">
      <c r="B29" t="s">
        <v>114</v>
      </c>
      <c r="C29" s="12">
        <v>224</v>
      </c>
      <c r="D29" s="8">
        <v>4.26</v>
      </c>
      <c r="E29" s="12">
        <v>136</v>
      </c>
      <c r="F29" s="8">
        <v>6.03</v>
      </c>
      <c r="G29" s="12">
        <v>62</v>
      </c>
      <c r="H29" s="8">
        <v>2.1</v>
      </c>
      <c r="I29" s="12">
        <v>1</v>
      </c>
    </row>
    <row r="30" spans="2:9" ht="15" customHeight="1" x14ac:dyDescent="0.2">
      <c r="B30" t="s">
        <v>99</v>
      </c>
      <c r="C30" s="12">
        <v>222</v>
      </c>
      <c r="D30" s="8">
        <v>4.22</v>
      </c>
      <c r="E30" s="12">
        <v>32</v>
      </c>
      <c r="F30" s="8">
        <v>1.42</v>
      </c>
      <c r="G30" s="12">
        <v>190</v>
      </c>
      <c r="H30" s="8">
        <v>6.43</v>
      </c>
      <c r="I30" s="12">
        <v>0</v>
      </c>
    </row>
    <row r="31" spans="2:9" ht="15" customHeight="1" x14ac:dyDescent="0.2">
      <c r="B31" t="s">
        <v>115</v>
      </c>
      <c r="C31" s="12">
        <v>217</v>
      </c>
      <c r="D31" s="8">
        <v>4.13</v>
      </c>
      <c r="E31" s="12">
        <v>182</v>
      </c>
      <c r="F31" s="8">
        <v>8.07</v>
      </c>
      <c r="G31" s="12">
        <v>35</v>
      </c>
      <c r="H31" s="8">
        <v>1.18</v>
      </c>
      <c r="I31" s="12">
        <v>0</v>
      </c>
    </row>
    <row r="32" spans="2:9" ht="15" customHeight="1" x14ac:dyDescent="0.2">
      <c r="B32" t="s">
        <v>100</v>
      </c>
      <c r="C32" s="12">
        <v>209</v>
      </c>
      <c r="D32" s="8">
        <v>3.97</v>
      </c>
      <c r="E32" s="12">
        <v>30</v>
      </c>
      <c r="F32" s="8">
        <v>1.33</v>
      </c>
      <c r="G32" s="12">
        <v>179</v>
      </c>
      <c r="H32" s="8">
        <v>6.05</v>
      </c>
      <c r="I32" s="12">
        <v>0</v>
      </c>
    </row>
    <row r="33" spans="2:9" ht="15" customHeight="1" x14ac:dyDescent="0.2">
      <c r="B33" t="s">
        <v>105</v>
      </c>
      <c r="C33" s="12">
        <v>203</v>
      </c>
      <c r="D33" s="8">
        <v>3.86</v>
      </c>
      <c r="E33" s="12">
        <v>141</v>
      </c>
      <c r="F33" s="8">
        <v>6.25</v>
      </c>
      <c r="G33" s="12">
        <v>62</v>
      </c>
      <c r="H33" s="8">
        <v>2.1</v>
      </c>
      <c r="I33" s="12">
        <v>0</v>
      </c>
    </row>
    <row r="34" spans="2:9" ht="15" customHeight="1" x14ac:dyDescent="0.2">
      <c r="B34" t="s">
        <v>111</v>
      </c>
      <c r="C34" s="12">
        <v>195</v>
      </c>
      <c r="D34" s="8">
        <v>3.71</v>
      </c>
      <c r="E34" s="12">
        <v>65</v>
      </c>
      <c r="F34" s="8">
        <v>2.88</v>
      </c>
      <c r="G34" s="12">
        <v>130</v>
      </c>
      <c r="H34" s="8">
        <v>4.4000000000000004</v>
      </c>
      <c r="I34" s="12">
        <v>0</v>
      </c>
    </row>
    <row r="35" spans="2:9" ht="15" customHeight="1" x14ac:dyDescent="0.2">
      <c r="B35" t="s">
        <v>110</v>
      </c>
      <c r="C35" s="12">
        <v>188</v>
      </c>
      <c r="D35" s="8">
        <v>3.58</v>
      </c>
      <c r="E35" s="12">
        <v>73</v>
      </c>
      <c r="F35" s="8">
        <v>3.24</v>
      </c>
      <c r="G35" s="12">
        <v>115</v>
      </c>
      <c r="H35" s="8">
        <v>3.89</v>
      </c>
      <c r="I35" s="12">
        <v>0</v>
      </c>
    </row>
    <row r="36" spans="2:9" ht="15" customHeight="1" x14ac:dyDescent="0.2">
      <c r="B36" t="s">
        <v>108</v>
      </c>
      <c r="C36" s="12">
        <v>138</v>
      </c>
      <c r="D36" s="8">
        <v>2.62</v>
      </c>
      <c r="E36" s="12">
        <v>25</v>
      </c>
      <c r="F36" s="8">
        <v>1.1100000000000001</v>
      </c>
      <c r="G36" s="12">
        <v>113</v>
      </c>
      <c r="H36" s="8">
        <v>3.82</v>
      </c>
      <c r="I36" s="12">
        <v>0</v>
      </c>
    </row>
    <row r="37" spans="2:9" ht="15" customHeight="1" x14ac:dyDescent="0.2">
      <c r="B37" t="s">
        <v>106</v>
      </c>
      <c r="C37" s="12">
        <v>121</v>
      </c>
      <c r="D37" s="8">
        <v>2.2999999999999998</v>
      </c>
      <c r="E37" s="12">
        <v>79</v>
      </c>
      <c r="F37" s="8">
        <v>3.5</v>
      </c>
      <c r="G37" s="12">
        <v>42</v>
      </c>
      <c r="H37" s="8">
        <v>1.42</v>
      </c>
      <c r="I37" s="12">
        <v>0</v>
      </c>
    </row>
    <row r="38" spans="2:9" ht="15" customHeight="1" x14ac:dyDescent="0.2">
      <c r="B38" t="s">
        <v>102</v>
      </c>
      <c r="C38" s="12">
        <v>111</v>
      </c>
      <c r="D38" s="8">
        <v>2.11</v>
      </c>
      <c r="E38" s="12">
        <v>7</v>
      </c>
      <c r="F38" s="8">
        <v>0.31</v>
      </c>
      <c r="G38" s="12">
        <v>104</v>
      </c>
      <c r="H38" s="8">
        <v>3.52</v>
      </c>
      <c r="I38" s="12">
        <v>0</v>
      </c>
    </row>
    <row r="39" spans="2:9" ht="15" customHeight="1" x14ac:dyDescent="0.2">
      <c r="B39" t="s">
        <v>103</v>
      </c>
      <c r="C39" s="12">
        <v>104</v>
      </c>
      <c r="D39" s="8">
        <v>1.98</v>
      </c>
      <c r="E39" s="12">
        <v>13</v>
      </c>
      <c r="F39" s="8">
        <v>0.57999999999999996</v>
      </c>
      <c r="G39" s="12">
        <v>91</v>
      </c>
      <c r="H39" s="8">
        <v>3.08</v>
      </c>
      <c r="I39" s="12">
        <v>0</v>
      </c>
    </row>
    <row r="40" spans="2:9" ht="15" customHeight="1" x14ac:dyDescent="0.2">
      <c r="B40" t="s">
        <v>116</v>
      </c>
      <c r="C40" s="12">
        <v>96</v>
      </c>
      <c r="D40" s="8">
        <v>1.83</v>
      </c>
      <c r="E40" s="12">
        <v>1</v>
      </c>
      <c r="F40" s="8">
        <v>0.04</v>
      </c>
      <c r="G40" s="12">
        <v>80</v>
      </c>
      <c r="H40" s="8">
        <v>2.71</v>
      </c>
      <c r="I40" s="12">
        <v>1</v>
      </c>
    </row>
    <row r="41" spans="2:9" ht="15" customHeight="1" x14ac:dyDescent="0.2">
      <c r="B41" t="s">
        <v>104</v>
      </c>
      <c r="C41" s="12">
        <v>94</v>
      </c>
      <c r="D41" s="8">
        <v>1.79</v>
      </c>
      <c r="E41" s="12">
        <v>53</v>
      </c>
      <c r="F41" s="8">
        <v>2.35</v>
      </c>
      <c r="G41" s="12">
        <v>41</v>
      </c>
      <c r="H41" s="8">
        <v>1.39</v>
      </c>
      <c r="I41" s="12">
        <v>0</v>
      </c>
    </row>
    <row r="42" spans="2:9" ht="15" customHeight="1" x14ac:dyDescent="0.2">
      <c r="B42" t="s">
        <v>117</v>
      </c>
      <c r="C42" s="12">
        <v>76</v>
      </c>
      <c r="D42" s="8">
        <v>1.45</v>
      </c>
      <c r="E42" s="12">
        <v>10</v>
      </c>
      <c r="F42" s="8">
        <v>0.44</v>
      </c>
      <c r="G42" s="12">
        <v>65</v>
      </c>
      <c r="H42" s="8">
        <v>2.2000000000000002</v>
      </c>
      <c r="I42" s="12">
        <v>1</v>
      </c>
    </row>
    <row r="43" spans="2:9" ht="15" customHeight="1" x14ac:dyDescent="0.2">
      <c r="B43" t="s">
        <v>118</v>
      </c>
      <c r="C43" s="12">
        <v>68</v>
      </c>
      <c r="D43" s="8">
        <v>1.29</v>
      </c>
      <c r="E43" s="12">
        <v>33</v>
      </c>
      <c r="F43" s="8">
        <v>1.46</v>
      </c>
      <c r="G43" s="12">
        <v>35</v>
      </c>
      <c r="H43" s="8">
        <v>1.18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164</v>
      </c>
      <c r="C47" s="12">
        <v>377</v>
      </c>
      <c r="D47" s="8">
        <v>7.17</v>
      </c>
      <c r="E47" s="12">
        <v>141</v>
      </c>
      <c r="F47" s="8">
        <v>6.25</v>
      </c>
      <c r="G47" s="12">
        <v>236</v>
      </c>
      <c r="H47" s="8">
        <v>7.98</v>
      </c>
      <c r="I47" s="12">
        <v>0</v>
      </c>
    </row>
    <row r="48" spans="2:9" ht="15" customHeight="1" x14ac:dyDescent="0.2">
      <c r="B48" t="s">
        <v>170</v>
      </c>
      <c r="C48" s="12">
        <v>266</v>
      </c>
      <c r="D48" s="8">
        <v>5.0599999999999996</v>
      </c>
      <c r="E48" s="12">
        <v>230</v>
      </c>
      <c r="F48" s="8">
        <v>10.199999999999999</v>
      </c>
      <c r="G48" s="12">
        <v>36</v>
      </c>
      <c r="H48" s="8">
        <v>1.22</v>
      </c>
      <c r="I48" s="12">
        <v>0</v>
      </c>
    </row>
    <row r="49" spans="2:9" ht="15" customHeight="1" x14ac:dyDescent="0.2">
      <c r="B49" t="s">
        <v>167</v>
      </c>
      <c r="C49" s="12">
        <v>154</v>
      </c>
      <c r="D49" s="8">
        <v>2.93</v>
      </c>
      <c r="E49" s="12">
        <v>139</v>
      </c>
      <c r="F49" s="8">
        <v>6.16</v>
      </c>
      <c r="G49" s="12">
        <v>15</v>
      </c>
      <c r="H49" s="8">
        <v>0.51</v>
      </c>
      <c r="I49" s="12">
        <v>0</v>
      </c>
    </row>
    <row r="50" spans="2:9" ht="15" customHeight="1" x14ac:dyDescent="0.2">
      <c r="B50" t="s">
        <v>165</v>
      </c>
      <c r="C50" s="12">
        <v>151</v>
      </c>
      <c r="D50" s="8">
        <v>2.87</v>
      </c>
      <c r="E50" s="12">
        <v>48</v>
      </c>
      <c r="F50" s="8">
        <v>2.13</v>
      </c>
      <c r="G50" s="12">
        <v>103</v>
      </c>
      <c r="H50" s="8">
        <v>3.48</v>
      </c>
      <c r="I50" s="12">
        <v>0</v>
      </c>
    </row>
    <row r="51" spans="2:9" ht="15" customHeight="1" x14ac:dyDescent="0.2">
      <c r="B51" t="s">
        <v>172</v>
      </c>
      <c r="C51" s="12">
        <v>143</v>
      </c>
      <c r="D51" s="8">
        <v>2.72</v>
      </c>
      <c r="E51" s="12">
        <v>120</v>
      </c>
      <c r="F51" s="8">
        <v>5.32</v>
      </c>
      <c r="G51" s="12">
        <v>23</v>
      </c>
      <c r="H51" s="8">
        <v>0.78</v>
      </c>
      <c r="I51" s="12">
        <v>0</v>
      </c>
    </row>
    <row r="52" spans="2:9" ht="15" customHeight="1" x14ac:dyDescent="0.2">
      <c r="B52" t="s">
        <v>171</v>
      </c>
      <c r="C52" s="12">
        <v>137</v>
      </c>
      <c r="D52" s="8">
        <v>2.61</v>
      </c>
      <c r="E52" s="12">
        <v>104</v>
      </c>
      <c r="F52" s="8">
        <v>4.6100000000000003</v>
      </c>
      <c r="G52" s="12">
        <v>33</v>
      </c>
      <c r="H52" s="8">
        <v>1.1200000000000001</v>
      </c>
      <c r="I52" s="12">
        <v>0</v>
      </c>
    </row>
    <row r="53" spans="2:9" ht="15" customHeight="1" x14ac:dyDescent="0.2">
      <c r="B53" t="s">
        <v>166</v>
      </c>
      <c r="C53" s="12">
        <v>127</v>
      </c>
      <c r="D53" s="8">
        <v>2.42</v>
      </c>
      <c r="E53" s="12">
        <v>105</v>
      </c>
      <c r="F53" s="8">
        <v>4.66</v>
      </c>
      <c r="G53" s="12">
        <v>22</v>
      </c>
      <c r="H53" s="8">
        <v>0.74</v>
      </c>
      <c r="I53" s="12">
        <v>0</v>
      </c>
    </row>
    <row r="54" spans="2:9" ht="15" customHeight="1" x14ac:dyDescent="0.2">
      <c r="B54" t="s">
        <v>169</v>
      </c>
      <c r="C54" s="12">
        <v>121</v>
      </c>
      <c r="D54" s="8">
        <v>2.2999999999999998</v>
      </c>
      <c r="E54" s="12">
        <v>114</v>
      </c>
      <c r="F54" s="8">
        <v>5.0599999999999996</v>
      </c>
      <c r="G54" s="12">
        <v>7</v>
      </c>
      <c r="H54" s="8">
        <v>0.24</v>
      </c>
      <c r="I54" s="12">
        <v>0</v>
      </c>
    </row>
    <row r="55" spans="2:9" ht="15" customHeight="1" x14ac:dyDescent="0.2">
      <c r="B55" t="s">
        <v>163</v>
      </c>
      <c r="C55" s="12">
        <v>118</v>
      </c>
      <c r="D55" s="8">
        <v>2.2400000000000002</v>
      </c>
      <c r="E55" s="12">
        <v>24</v>
      </c>
      <c r="F55" s="8">
        <v>1.06</v>
      </c>
      <c r="G55" s="12">
        <v>93</v>
      </c>
      <c r="H55" s="8">
        <v>3.15</v>
      </c>
      <c r="I55" s="12">
        <v>1</v>
      </c>
    </row>
    <row r="56" spans="2:9" ht="15" customHeight="1" x14ac:dyDescent="0.2">
      <c r="B56" t="s">
        <v>160</v>
      </c>
      <c r="C56" s="12">
        <v>112</v>
      </c>
      <c r="D56" s="8">
        <v>2.13</v>
      </c>
      <c r="E56" s="12">
        <v>30</v>
      </c>
      <c r="F56" s="8">
        <v>1.33</v>
      </c>
      <c r="G56" s="12">
        <v>82</v>
      </c>
      <c r="H56" s="8">
        <v>2.77</v>
      </c>
      <c r="I56" s="12">
        <v>0</v>
      </c>
    </row>
    <row r="57" spans="2:9" ht="15" customHeight="1" x14ac:dyDescent="0.2">
      <c r="B57" t="s">
        <v>162</v>
      </c>
      <c r="C57" s="12">
        <v>108</v>
      </c>
      <c r="D57" s="8">
        <v>2.0499999999999998</v>
      </c>
      <c r="E57" s="12">
        <v>23</v>
      </c>
      <c r="F57" s="8">
        <v>1.02</v>
      </c>
      <c r="G57" s="12">
        <v>85</v>
      </c>
      <c r="H57" s="8">
        <v>2.87</v>
      </c>
      <c r="I57" s="12">
        <v>0</v>
      </c>
    </row>
    <row r="58" spans="2:9" ht="15" customHeight="1" x14ac:dyDescent="0.2">
      <c r="B58" t="s">
        <v>155</v>
      </c>
      <c r="C58" s="12">
        <v>99</v>
      </c>
      <c r="D58" s="8">
        <v>1.88</v>
      </c>
      <c r="E58" s="12">
        <v>6</v>
      </c>
      <c r="F58" s="8">
        <v>0.27</v>
      </c>
      <c r="G58" s="12">
        <v>93</v>
      </c>
      <c r="H58" s="8">
        <v>3.15</v>
      </c>
      <c r="I58" s="12">
        <v>0</v>
      </c>
    </row>
    <row r="59" spans="2:9" ht="15" customHeight="1" x14ac:dyDescent="0.2">
      <c r="B59" t="s">
        <v>168</v>
      </c>
      <c r="C59" s="12">
        <v>93</v>
      </c>
      <c r="D59" s="8">
        <v>1.77</v>
      </c>
      <c r="E59" s="12">
        <v>85</v>
      </c>
      <c r="F59" s="8">
        <v>3.77</v>
      </c>
      <c r="G59" s="12">
        <v>8</v>
      </c>
      <c r="H59" s="8">
        <v>0.27</v>
      </c>
      <c r="I59" s="12">
        <v>0</v>
      </c>
    </row>
    <row r="60" spans="2:9" ht="15" customHeight="1" x14ac:dyDescent="0.2">
      <c r="B60" t="s">
        <v>188</v>
      </c>
      <c r="C60" s="12">
        <v>85</v>
      </c>
      <c r="D60" s="8">
        <v>1.62</v>
      </c>
      <c r="E60" s="12">
        <v>8</v>
      </c>
      <c r="F60" s="8">
        <v>0.35</v>
      </c>
      <c r="G60" s="12">
        <v>76</v>
      </c>
      <c r="H60" s="8">
        <v>2.57</v>
      </c>
      <c r="I60" s="12">
        <v>1</v>
      </c>
    </row>
    <row r="61" spans="2:9" ht="15" customHeight="1" x14ac:dyDescent="0.2">
      <c r="B61" t="s">
        <v>202</v>
      </c>
      <c r="C61" s="12">
        <v>84</v>
      </c>
      <c r="D61" s="8">
        <v>1.6</v>
      </c>
      <c r="E61" s="12">
        <v>11</v>
      </c>
      <c r="F61" s="8">
        <v>0.49</v>
      </c>
      <c r="G61" s="12">
        <v>73</v>
      </c>
      <c r="H61" s="8">
        <v>2.4700000000000002</v>
      </c>
      <c r="I61" s="12">
        <v>0</v>
      </c>
    </row>
    <row r="62" spans="2:9" ht="15" customHeight="1" x14ac:dyDescent="0.2">
      <c r="B62" t="s">
        <v>154</v>
      </c>
      <c r="C62" s="12">
        <v>79</v>
      </c>
      <c r="D62" s="8">
        <v>1.5</v>
      </c>
      <c r="E62" s="12">
        <v>10</v>
      </c>
      <c r="F62" s="8">
        <v>0.44</v>
      </c>
      <c r="G62" s="12">
        <v>69</v>
      </c>
      <c r="H62" s="8">
        <v>2.33</v>
      </c>
      <c r="I62" s="12">
        <v>0</v>
      </c>
    </row>
    <row r="63" spans="2:9" ht="15" customHeight="1" x14ac:dyDescent="0.2">
      <c r="B63" t="s">
        <v>182</v>
      </c>
      <c r="C63" s="12">
        <v>79</v>
      </c>
      <c r="D63" s="8">
        <v>1.5</v>
      </c>
      <c r="E63" s="12">
        <v>28</v>
      </c>
      <c r="F63" s="8">
        <v>1.24</v>
      </c>
      <c r="G63" s="12">
        <v>51</v>
      </c>
      <c r="H63" s="8">
        <v>1.72</v>
      </c>
      <c r="I63" s="12">
        <v>0</v>
      </c>
    </row>
    <row r="64" spans="2:9" ht="15" customHeight="1" x14ac:dyDescent="0.2">
      <c r="B64" t="s">
        <v>156</v>
      </c>
      <c r="C64" s="12">
        <v>76</v>
      </c>
      <c r="D64" s="8">
        <v>1.45</v>
      </c>
      <c r="E64" s="12">
        <v>12</v>
      </c>
      <c r="F64" s="8">
        <v>0.53</v>
      </c>
      <c r="G64" s="12">
        <v>64</v>
      </c>
      <c r="H64" s="8">
        <v>2.16</v>
      </c>
      <c r="I64" s="12">
        <v>0</v>
      </c>
    </row>
    <row r="65" spans="2:9" ht="15" customHeight="1" x14ac:dyDescent="0.2">
      <c r="B65" t="s">
        <v>187</v>
      </c>
      <c r="C65" s="12">
        <v>73</v>
      </c>
      <c r="D65" s="8">
        <v>1.39</v>
      </c>
      <c r="E65" s="12">
        <v>7</v>
      </c>
      <c r="F65" s="8">
        <v>0.31</v>
      </c>
      <c r="G65" s="12">
        <v>66</v>
      </c>
      <c r="H65" s="8">
        <v>2.23</v>
      </c>
      <c r="I65" s="12">
        <v>0</v>
      </c>
    </row>
    <row r="66" spans="2:9" ht="15" customHeight="1" x14ac:dyDescent="0.2">
      <c r="B66" t="s">
        <v>158</v>
      </c>
      <c r="C66" s="12">
        <v>72</v>
      </c>
      <c r="D66" s="8">
        <v>1.37</v>
      </c>
      <c r="E66" s="12">
        <v>46</v>
      </c>
      <c r="F66" s="8">
        <v>2.04</v>
      </c>
      <c r="G66" s="12">
        <v>26</v>
      </c>
      <c r="H66" s="8">
        <v>0.88</v>
      </c>
      <c r="I66" s="12">
        <v>0</v>
      </c>
    </row>
    <row r="68" spans="2:9" ht="15" customHeight="1" x14ac:dyDescent="0.2">
      <c r="B68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7592A-6FDC-46D7-B9B6-0F86738F3C08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302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559</v>
      </c>
      <c r="D6" s="8">
        <v>18.53</v>
      </c>
      <c r="E6" s="12">
        <v>98</v>
      </c>
      <c r="F6" s="8">
        <v>8.06</v>
      </c>
      <c r="G6" s="12">
        <v>461</v>
      </c>
      <c r="H6" s="8">
        <v>26.22</v>
      </c>
      <c r="I6" s="12">
        <v>0</v>
      </c>
    </row>
    <row r="7" spans="2:9" ht="15" customHeight="1" x14ac:dyDescent="0.2">
      <c r="B7" t="s">
        <v>77</v>
      </c>
      <c r="C7" s="12">
        <v>87</v>
      </c>
      <c r="D7" s="8">
        <v>2.88</v>
      </c>
      <c r="E7" s="12">
        <v>37</v>
      </c>
      <c r="F7" s="8">
        <v>3.04</v>
      </c>
      <c r="G7" s="12">
        <v>50</v>
      </c>
      <c r="H7" s="8">
        <v>2.84</v>
      </c>
      <c r="I7" s="12">
        <v>0</v>
      </c>
    </row>
    <row r="8" spans="2:9" ht="15" customHeight="1" x14ac:dyDescent="0.2">
      <c r="B8" t="s">
        <v>78</v>
      </c>
      <c r="C8" s="12">
        <v>3</v>
      </c>
      <c r="D8" s="8">
        <v>0.1</v>
      </c>
      <c r="E8" s="12">
        <v>0</v>
      </c>
      <c r="F8" s="8">
        <v>0</v>
      </c>
      <c r="G8" s="12">
        <v>1</v>
      </c>
      <c r="H8" s="8">
        <v>0.06</v>
      </c>
      <c r="I8" s="12">
        <v>0</v>
      </c>
    </row>
    <row r="9" spans="2:9" ht="15" customHeight="1" x14ac:dyDescent="0.2">
      <c r="B9" t="s">
        <v>79</v>
      </c>
      <c r="C9" s="12">
        <v>34</v>
      </c>
      <c r="D9" s="8">
        <v>1.1299999999999999</v>
      </c>
      <c r="E9" s="12">
        <v>1</v>
      </c>
      <c r="F9" s="8">
        <v>0.08</v>
      </c>
      <c r="G9" s="12">
        <v>33</v>
      </c>
      <c r="H9" s="8">
        <v>1.88</v>
      </c>
      <c r="I9" s="12">
        <v>0</v>
      </c>
    </row>
    <row r="10" spans="2:9" ht="15" customHeight="1" x14ac:dyDescent="0.2">
      <c r="B10" t="s">
        <v>80</v>
      </c>
      <c r="C10" s="12">
        <v>25</v>
      </c>
      <c r="D10" s="8">
        <v>0.83</v>
      </c>
      <c r="E10" s="12">
        <v>17</v>
      </c>
      <c r="F10" s="8">
        <v>1.4</v>
      </c>
      <c r="G10" s="12">
        <v>8</v>
      </c>
      <c r="H10" s="8">
        <v>0.46</v>
      </c>
      <c r="I10" s="12">
        <v>0</v>
      </c>
    </row>
    <row r="11" spans="2:9" ht="15" customHeight="1" x14ac:dyDescent="0.2">
      <c r="B11" t="s">
        <v>81</v>
      </c>
      <c r="C11" s="12">
        <v>713</v>
      </c>
      <c r="D11" s="8">
        <v>23.64</v>
      </c>
      <c r="E11" s="12">
        <v>273</v>
      </c>
      <c r="F11" s="8">
        <v>22.45</v>
      </c>
      <c r="G11" s="12">
        <v>440</v>
      </c>
      <c r="H11" s="8">
        <v>25.03</v>
      </c>
      <c r="I11" s="12">
        <v>0</v>
      </c>
    </row>
    <row r="12" spans="2:9" ht="15" customHeight="1" x14ac:dyDescent="0.2">
      <c r="B12" t="s">
        <v>82</v>
      </c>
      <c r="C12" s="12">
        <v>26</v>
      </c>
      <c r="D12" s="8">
        <v>0.86</v>
      </c>
      <c r="E12" s="12">
        <v>4</v>
      </c>
      <c r="F12" s="8">
        <v>0.33</v>
      </c>
      <c r="G12" s="12">
        <v>22</v>
      </c>
      <c r="H12" s="8">
        <v>1.25</v>
      </c>
      <c r="I12" s="12">
        <v>0</v>
      </c>
    </row>
    <row r="13" spans="2:9" ht="15" customHeight="1" x14ac:dyDescent="0.2">
      <c r="B13" t="s">
        <v>83</v>
      </c>
      <c r="C13" s="12">
        <v>293</v>
      </c>
      <c r="D13" s="8">
        <v>9.7100000000000009</v>
      </c>
      <c r="E13" s="12">
        <v>64</v>
      </c>
      <c r="F13" s="8">
        <v>5.26</v>
      </c>
      <c r="G13" s="12">
        <v>229</v>
      </c>
      <c r="H13" s="8">
        <v>13.03</v>
      </c>
      <c r="I13" s="12">
        <v>0</v>
      </c>
    </row>
    <row r="14" spans="2:9" ht="15" customHeight="1" x14ac:dyDescent="0.2">
      <c r="B14" t="s">
        <v>84</v>
      </c>
      <c r="C14" s="12">
        <v>197</v>
      </c>
      <c r="D14" s="8">
        <v>6.53</v>
      </c>
      <c r="E14" s="12">
        <v>59</v>
      </c>
      <c r="F14" s="8">
        <v>4.8499999999999996</v>
      </c>
      <c r="G14" s="12">
        <v>138</v>
      </c>
      <c r="H14" s="8">
        <v>7.85</v>
      </c>
      <c r="I14" s="12">
        <v>0</v>
      </c>
    </row>
    <row r="15" spans="2:9" ht="15" customHeight="1" x14ac:dyDescent="0.2">
      <c r="B15" t="s">
        <v>85</v>
      </c>
      <c r="C15" s="12">
        <v>259</v>
      </c>
      <c r="D15" s="8">
        <v>8.59</v>
      </c>
      <c r="E15" s="12">
        <v>196</v>
      </c>
      <c r="F15" s="8">
        <v>16.12</v>
      </c>
      <c r="G15" s="12">
        <v>62</v>
      </c>
      <c r="H15" s="8">
        <v>3.53</v>
      </c>
      <c r="I15" s="12">
        <v>0</v>
      </c>
    </row>
    <row r="16" spans="2:9" ht="15" customHeight="1" x14ac:dyDescent="0.2">
      <c r="B16" t="s">
        <v>86</v>
      </c>
      <c r="C16" s="12">
        <v>379</v>
      </c>
      <c r="D16" s="8">
        <v>12.57</v>
      </c>
      <c r="E16" s="12">
        <v>243</v>
      </c>
      <c r="F16" s="8">
        <v>19.98</v>
      </c>
      <c r="G16" s="12">
        <v>135</v>
      </c>
      <c r="H16" s="8">
        <v>7.68</v>
      </c>
      <c r="I16" s="12">
        <v>1</v>
      </c>
    </row>
    <row r="17" spans="2:9" ht="15" customHeight="1" x14ac:dyDescent="0.2">
      <c r="B17" t="s">
        <v>87</v>
      </c>
      <c r="C17" s="12">
        <v>150</v>
      </c>
      <c r="D17" s="8">
        <v>4.97</v>
      </c>
      <c r="E17" s="12">
        <v>86</v>
      </c>
      <c r="F17" s="8">
        <v>7.07</v>
      </c>
      <c r="G17" s="12">
        <v>40</v>
      </c>
      <c r="H17" s="8">
        <v>2.2799999999999998</v>
      </c>
      <c r="I17" s="12">
        <v>0</v>
      </c>
    </row>
    <row r="18" spans="2:9" ht="15" customHeight="1" x14ac:dyDescent="0.2">
      <c r="B18" t="s">
        <v>88</v>
      </c>
      <c r="C18" s="12">
        <v>199</v>
      </c>
      <c r="D18" s="8">
        <v>6.6</v>
      </c>
      <c r="E18" s="12">
        <v>106</v>
      </c>
      <c r="F18" s="8">
        <v>8.7200000000000006</v>
      </c>
      <c r="G18" s="12">
        <v>80</v>
      </c>
      <c r="H18" s="8">
        <v>4.55</v>
      </c>
      <c r="I18" s="12">
        <v>0</v>
      </c>
    </row>
    <row r="19" spans="2:9" ht="15" customHeight="1" x14ac:dyDescent="0.2">
      <c r="B19" t="s">
        <v>89</v>
      </c>
      <c r="C19" s="12">
        <v>92</v>
      </c>
      <c r="D19" s="8">
        <v>3.05</v>
      </c>
      <c r="E19" s="12">
        <v>32</v>
      </c>
      <c r="F19" s="8">
        <v>2.63</v>
      </c>
      <c r="G19" s="12">
        <v>59</v>
      </c>
      <c r="H19" s="8">
        <v>3.36</v>
      </c>
      <c r="I19" s="12">
        <v>0</v>
      </c>
    </row>
    <row r="20" spans="2:9" ht="15" customHeight="1" x14ac:dyDescent="0.2">
      <c r="B20" s="9" t="s">
        <v>285</v>
      </c>
      <c r="C20" s="12">
        <f>SUM(LTBL_40135[総数／事業所数])</f>
        <v>3016</v>
      </c>
      <c r="E20" s="12">
        <f>SUBTOTAL(109,LTBL_40135[個人／事業所数])</f>
        <v>1216</v>
      </c>
      <c r="G20" s="12">
        <f>SUBTOTAL(109,LTBL_40135[法人／事業所数])</f>
        <v>1758</v>
      </c>
      <c r="I20" s="12">
        <f>SUBTOTAL(109,LTBL_40135[法人以外の団体／事業所数])</f>
        <v>1</v>
      </c>
    </row>
    <row r="21" spans="2:9" ht="15" customHeight="1" x14ac:dyDescent="0.2">
      <c r="E21" s="11">
        <f>LTBL_40135[[#Totals],[個人／事業所数]]/LTBL_40135[[#Totals],[総数／事業所数]]</f>
        <v>0.40318302387267907</v>
      </c>
      <c r="G21" s="11">
        <f>LTBL_40135[[#Totals],[法人／事業所数]]/LTBL_40135[[#Totals],[総数／事業所数]]</f>
        <v>0.58289124668435011</v>
      </c>
      <c r="I21" s="11">
        <f>LTBL_40135[[#Totals],[法人以外の団体／事業所数]]/LTBL_40135[[#Totals],[総数／事業所数]]</f>
        <v>3.3156498673740051E-4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302</v>
      </c>
      <c r="D24" s="8">
        <v>10.01</v>
      </c>
      <c r="E24" s="12">
        <v>220</v>
      </c>
      <c r="F24" s="8">
        <v>18.09</v>
      </c>
      <c r="G24" s="12">
        <v>82</v>
      </c>
      <c r="H24" s="8">
        <v>4.66</v>
      </c>
      <c r="I24" s="12">
        <v>0</v>
      </c>
    </row>
    <row r="25" spans="2:9" ht="15" customHeight="1" x14ac:dyDescent="0.2">
      <c r="B25" t="s">
        <v>98</v>
      </c>
      <c r="C25" s="12">
        <v>231</v>
      </c>
      <c r="D25" s="8">
        <v>7.66</v>
      </c>
      <c r="E25" s="12">
        <v>25</v>
      </c>
      <c r="F25" s="8">
        <v>2.06</v>
      </c>
      <c r="G25" s="12">
        <v>206</v>
      </c>
      <c r="H25" s="8">
        <v>11.72</v>
      </c>
      <c r="I25" s="12">
        <v>0</v>
      </c>
    </row>
    <row r="26" spans="2:9" ht="15" customHeight="1" x14ac:dyDescent="0.2">
      <c r="B26" t="s">
        <v>112</v>
      </c>
      <c r="C26" s="12">
        <v>227</v>
      </c>
      <c r="D26" s="8">
        <v>7.53</v>
      </c>
      <c r="E26" s="12">
        <v>185</v>
      </c>
      <c r="F26" s="8">
        <v>15.21</v>
      </c>
      <c r="G26" s="12">
        <v>42</v>
      </c>
      <c r="H26" s="8">
        <v>2.39</v>
      </c>
      <c r="I26" s="12">
        <v>0</v>
      </c>
    </row>
    <row r="27" spans="2:9" ht="15" customHeight="1" x14ac:dyDescent="0.2">
      <c r="B27" t="s">
        <v>109</v>
      </c>
      <c r="C27" s="12">
        <v>218</v>
      </c>
      <c r="D27" s="8">
        <v>7.23</v>
      </c>
      <c r="E27" s="12">
        <v>50</v>
      </c>
      <c r="F27" s="8">
        <v>4.1100000000000003</v>
      </c>
      <c r="G27" s="12">
        <v>168</v>
      </c>
      <c r="H27" s="8">
        <v>9.56</v>
      </c>
      <c r="I27" s="12">
        <v>0</v>
      </c>
    </row>
    <row r="28" spans="2:9" ht="15" customHeight="1" x14ac:dyDescent="0.2">
      <c r="B28" t="s">
        <v>99</v>
      </c>
      <c r="C28" s="12">
        <v>186</v>
      </c>
      <c r="D28" s="8">
        <v>6.17</v>
      </c>
      <c r="E28" s="12">
        <v>48</v>
      </c>
      <c r="F28" s="8">
        <v>3.95</v>
      </c>
      <c r="G28" s="12">
        <v>138</v>
      </c>
      <c r="H28" s="8">
        <v>7.85</v>
      </c>
      <c r="I28" s="12">
        <v>0</v>
      </c>
    </row>
    <row r="29" spans="2:9" ht="15" customHeight="1" x14ac:dyDescent="0.2">
      <c r="B29" t="s">
        <v>107</v>
      </c>
      <c r="C29" s="12">
        <v>179</v>
      </c>
      <c r="D29" s="8">
        <v>5.94</v>
      </c>
      <c r="E29" s="12">
        <v>69</v>
      </c>
      <c r="F29" s="8">
        <v>5.67</v>
      </c>
      <c r="G29" s="12">
        <v>110</v>
      </c>
      <c r="H29" s="8">
        <v>6.26</v>
      </c>
      <c r="I29" s="12">
        <v>0</v>
      </c>
    </row>
    <row r="30" spans="2:9" ht="15" customHeight="1" x14ac:dyDescent="0.2">
      <c r="B30" t="s">
        <v>114</v>
      </c>
      <c r="C30" s="12">
        <v>150</v>
      </c>
      <c r="D30" s="8">
        <v>4.97</v>
      </c>
      <c r="E30" s="12">
        <v>86</v>
      </c>
      <c r="F30" s="8">
        <v>7.07</v>
      </c>
      <c r="G30" s="12">
        <v>40</v>
      </c>
      <c r="H30" s="8">
        <v>2.2799999999999998</v>
      </c>
      <c r="I30" s="12">
        <v>0</v>
      </c>
    </row>
    <row r="31" spans="2:9" ht="15" customHeight="1" x14ac:dyDescent="0.2">
      <c r="B31" t="s">
        <v>100</v>
      </c>
      <c r="C31" s="12">
        <v>142</v>
      </c>
      <c r="D31" s="8">
        <v>4.71</v>
      </c>
      <c r="E31" s="12">
        <v>25</v>
      </c>
      <c r="F31" s="8">
        <v>2.06</v>
      </c>
      <c r="G31" s="12">
        <v>117</v>
      </c>
      <c r="H31" s="8">
        <v>6.66</v>
      </c>
      <c r="I31" s="12">
        <v>0</v>
      </c>
    </row>
    <row r="32" spans="2:9" ht="15" customHeight="1" x14ac:dyDescent="0.2">
      <c r="B32" t="s">
        <v>105</v>
      </c>
      <c r="C32" s="12">
        <v>134</v>
      </c>
      <c r="D32" s="8">
        <v>4.4400000000000004</v>
      </c>
      <c r="E32" s="12">
        <v>91</v>
      </c>
      <c r="F32" s="8">
        <v>7.48</v>
      </c>
      <c r="G32" s="12">
        <v>43</v>
      </c>
      <c r="H32" s="8">
        <v>2.4500000000000002</v>
      </c>
      <c r="I32" s="12">
        <v>0</v>
      </c>
    </row>
    <row r="33" spans="2:9" ht="15" customHeight="1" x14ac:dyDescent="0.2">
      <c r="B33" t="s">
        <v>115</v>
      </c>
      <c r="C33" s="12">
        <v>127</v>
      </c>
      <c r="D33" s="8">
        <v>4.21</v>
      </c>
      <c r="E33" s="12">
        <v>106</v>
      </c>
      <c r="F33" s="8">
        <v>8.7200000000000006</v>
      </c>
      <c r="G33" s="12">
        <v>21</v>
      </c>
      <c r="H33" s="8">
        <v>1.19</v>
      </c>
      <c r="I33" s="12">
        <v>0</v>
      </c>
    </row>
    <row r="34" spans="2:9" ht="15" customHeight="1" x14ac:dyDescent="0.2">
      <c r="B34" t="s">
        <v>104</v>
      </c>
      <c r="C34" s="12">
        <v>102</v>
      </c>
      <c r="D34" s="8">
        <v>3.38</v>
      </c>
      <c r="E34" s="12">
        <v>28</v>
      </c>
      <c r="F34" s="8">
        <v>2.2999999999999998</v>
      </c>
      <c r="G34" s="12">
        <v>74</v>
      </c>
      <c r="H34" s="8">
        <v>4.21</v>
      </c>
      <c r="I34" s="12">
        <v>0</v>
      </c>
    </row>
    <row r="35" spans="2:9" ht="15" customHeight="1" x14ac:dyDescent="0.2">
      <c r="B35" t="s">
        <v>110</v>
      </c>
      <c r="C35" s="12">
        <v>94</v>
      </c>
      <c r="D35" s="8">
        <v>3.12</v>
      </c>
      <c r="E35" s="12">
        <v>39</v>
      </c>
      <c r="F35" s="8">
        <v>3.21</v>
      </c>
      <c r="G35" s="12">
        <v>55</v>
      </c>
      <c r="H35" s="8">
        <v>3.13</v>
      </c>
      <c r="I35" s="12">
        <v>0</v>
      </c>
    </row>
    <row r="36" spans="2:9" ht="15" customHeight="1" x14ac:dyDescent="0.2">
      <c r="B36" t="s">
        <v>106</v>
      </c>
      <c r="C36" s="12">
        <v>82</v>
      </c>
      <c r="D36" s="8">
        <v>2.72</v>
      </c>
      <c r="E36" s="12">
        <v>51</v>
      </c>
      <c r="F36" s="8">
        <v>4.1900000000000004</v>
      </c>
      <c r="G36" s="12">
        <v>31</v>
      </c>
      <c r="H36" s="8">
        <v>1.76</v>
      </c>
      <c r="I36" s="12">
        <v>0</v>
      </c>
    </row>
    <row r="37" spans="2:9" ht="15" customHeight="1" x14ac:dyDescent="0.2">
      <c r="B37" t="s">
        <v>111</v>
      </c>
      <c r="C37" s="12">
        <v>72</v>
      </c>
      <c r="D37" s="8">
        <v>2.39</v>
      </c>
      <c r="E37" s="12">
        <v>20</v>
      </c>
      <c r="F37" s="8">
        <v>1.64</v>
      </c>
      <c r="G37" s="12">
        <v>52</v>
      </c>
      <c r="H37" s="8">
        <v>2.96</v>
      </c>
      <c r="I37" s="12">
        <v>0</v>
      </c>
    </row>
    <row r="38" spans="2:9" ht="15" customHeight="1" x14ac:dyDescent="0.2">
      <c r="B38" t="s">
        <v>116</v>
      </c>
      <c r="C38" s="12">
        <v>72</v>
      </c>
      <c r="D38" s="8">
        <v>2.39</v>
      </c>
      <c r="E38" s="12">
        <v>0</v>
      </c>
      <c r="F38" s="8">
        <v>0</v>
      </c>
      <c r="G38" s="12">
        <v>59</v>
      </c>
      <c r="H38" s="8">
        <v>3.36</v>
      </c>
      <c r="I38" s="12">
        <v>0</v>
      </c>
    </row>
    <row r="39" spans="2:9" ht="15" customHeight="1" x14ac:dyDescent="0.2">
      <c r="B39" t="s">
        <v>108</v>
      </c>
      <c r="C39" s="12">
        <v>62</v>
      </c>
      <c r="D39" s="8">
        <v>2.06</v>
      </c>
      <c r="E39" s="12">
        <v>12</v>
      </c>
      <c r="F39" s="8">
        <v>0.99</v>
      </c>
      <c r="G39" s="12">
        <v>50</v>
      </c>
      <c r="H39" s="8">
        <v>2.84</v>
      </c>
      <c r="I39" s="12">
        <v>0</v>
      </c>
    </row>
    <row r="40" spans="2:9" ht="15" customHeight="1" x14ac:dyDescent="0.2">
      <c r="B40" t="s">
        <v>118</v>
      </c>
      <c r="C40" s="12">
        <v>54</v>
      </c>
      <c r="D40" s="8">
        <v>1.79</v>
      </c>
      <c r="E40" s="12">
        <v>13</v>
      </c>
      <c r="F40" s="8">
        <v>1.07</v>
      </c>
      <c r="G40" s="12">
        <v>41</v>
      </c>
      <c r="H40" s="8">
        <v>2.33</v>
      </c>
      <c r="I40" s="12">
        <v>0</v>
      </c>
    </row>
    <row r="41" spans="2:9" ht="15" customHeight="1" x14ac:dyDescent="0.2">
      <c r="B41" t="s">
        <v>103</v>
      </c>
      <c r="C41" s="12">
        <v>48</v>
      </c>
      <c r="D41" s="8">
        <v>1.59</v>
      </c>
      <c r="E41" s="12">
        <v>7</v>
      </c>
      <c r="F41" s="8">
        <v>0.57999999999999996</v>
      </c>
      <c r="G41" s="12">
        <v>41</v>
      </c>
      <c r="H41" s="8">
        <v>2.33</v>
      </c>
      <c r="I41" s="12">
        <v>0</v>
      </c>
    </row>
    <row r="42" spans="2:9" ht="15" customHeight="1" x14ac:dyDescent="0.2">
      <c r="B42" t="s">
        <v>126</v>
      </c>
      <c r="C42" s="12">
        <v>47</v>
      </c>
      <c r="D42" s="8">
        <v>1.56</v>
      </c>
      <c r="E42" s="12">
        <v>7</v>
      </c>
      <c r="F42" s="8">
        <v>0.57999999999999996</v>
      </c>
      <c r="G42" s="12">
        <v>40</v>
      </c>
      <c r="H42" s="8">
        <v>2.2799999999999998</v>
      </c>
      <c r="I42" s="12">
        <v>0</v>
      </c>
    </row>
    <row r="43" spans="2:9" ht="15" customHeight="1" x14ac:dyDescent="0.2">
      <c r="B43" t="s">
        <v>102</v>
      </c>
      <c r="C43" s="12">
        <v>40</v>
      </c>
      <c r="D43" s="8">
        <v>1.33</v>
      </c>
      <c r="E43" s="12">
        <v>6</v>
      </c>
      <c r="F43" s="8">
        <v>0.49</v>
      </c>
      <c r="G43" s="12">
        <v>34</v>
      </c>
      <c r="H43" s="8">
        <v>1.93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170</v>
      </c>
      <c r="C47" s="12">
        <v>156</v>
      </c>
      <c r="D47" s="8">
        <v>5.17</v>
      </c>
      <c r="E47" s="12">
        <v>128</v>
      </c>
      <c r="F47" s="8">
        <v>10.53</v>
      </c>
      <c r="G47" s="12">
        <v>28</v>
      </c>
      <c r="H47" s="8">
        <v>1.59</v>
      </c>
      <c r="I47" s="12">
        <v>0</v>
      </c>
    </row>
    <row r="48" spans="2:9" ht="15" customHeight="1" x14ac:dyDescent="0.2">
      <c r="B48" t="s">
        <v>164</v>
      </c>
      <c r="C48" s="12">
        <v>139</v>
      </c>
      <c r="D48" s="8">
        <v>4.6100000000000003</v>
      </c>
      <c r="E48" s="12">
        <v>35</v>
      </c>
      <c r="F48" s="8">
        <v>2.88</v>
      </c>
      <c r="G48" s="12">
        <v>104</v>
      </c>
      <c r="H48" s="8">
        <v>5.92</v>
      </c>
      <c r="I48" s="12">
        <v>0</v>
      </c>
    </row>
    <row r="49" spans="2:9" ht="15" customHeight="1" x14ac:dyDescent="0.2">
      <c r="B49" t="s">
        <v>154</v>
      </c>
      <c r="C49" s="12">
        <v>90</v>
      </c>
      <c r="D49" s="8">
        <v>2.98</v>
      </c>
      <c r="E49" s="12">
        <v>8</v>
      </c>
      <c r="F49" s="8">
        <v>0.66</v>
      </c>
      <c r="G49" s="12">
        <v>82</v>
      </c>
      <c r="H49" s="8">
        <v>4.66</v>
      </c>
      <c r="I49" s="12">
        <v>0</v>
      </c>
    </row>
    <row r="50" spans="2:9" ht="15" customHeight="1" x14ac:dyDescent="0.2">
      <c r="B50" t="s">
        <v>172</v>
      </c>
      <c r="C50" s="12">
        <v>81</v>
      </c>
      <c r="D50" s="8">
        <v>2.69</v>
      </c>
      <c r="E50" s="12">
        <v>70</v>
      </c>
      <c r="F50" s="8">
        <v>5.76</v>
      </c>
      <c r="G50" s="12">
        <v>11</v>
      </c>
      <c r="H50" s="8">
        <v>0.63</v>
      </c>
      <c r="I50" s="12">
        <v>0</v>
      </c>
    </row>
    <row r="51" spans="2:9" ht="15" customHeight="1" x14ac:dyDescent="0.2">
      <c r="B51" t="s">
        <v>171</v>
      </c>
      <c r="C51" s="12">
        <v>78</v>
      </c>
      <c r="D51" s="8">
        <v>2.59</v>
      </c>
      <c r="E51" s="12">
        <v>57</v>
      </c>
      <c r="F51" s="8">
        <v>4.6900000000000004</v>
      </c>
      <c r="G51" s="12">
        <v>21</v>
      </c>
      <c r="H51" s="8">
        <v>1.19</v>
      </c>
      <c r="I51" s="12">
        <v>0</v>
      </c>
    </row>
    <row r="52" spans="2:9" ht="15" customHeight="1" x14ac:dyDescent="0.2">
      <c r="B52" t="s">
        <v>169</v>
      </c>
      <c r="C52" s="12">
        <v>69</v>
      </c>
      <c r="D52" s="8">
        <v>2.29</v>
      </c>
      <c r="E52" s="12">
        <v>66</v>
      </c>
      <c r="F52" s="8">
        <v>5.43</v>
      </c>
      <c r="G52" s="12">
        <v>3</v>
      </c>
      <c r="H52" s="8">
        <v>0.17</v>
      </c>
      <c r="I52" s="12">
        <v>0</v>
      </c>
    </row>
    <row r="53" spans="2:9" ht="15" customHeight="1" x14ac:dyDescent="0.2">
      <c r="B53" t="s">
        <v>156</v>
      </c>
      <c r="C53" s="12">
        <v>59</v>
      </c>
      <c r="D53" s="8">
        <v>1.96</v>
      </c>
      <c r="E53" s="12">
        <v>13</v>
      </c>
      <c r="F53" s="8">
        <v>1.07</v>
      </c>
      <c r="G53" s="12">
        <v>46</v>
      </c>
      <c r="H53" s="8">
        <v>2.62</v>
      </c>
      <c r="I53" s="12">
        <v>0</v>
      </c>
    </row>
    <row r="54" spans="2:9" ht="15" customHeight="1" x14ac:dyDescent="0.2">
      <c r="B54" t="s">
        <v>166</v>
      </c>
      <c r="C54" s="12">
        <v>59</v>
      </c>
      <c r="D54" s="8">
        <v>1.96</v>
      </c>
      <c r="E54" s="12">
        <v>42</v>
      </c>
      <c r="F54" s="8">
        <v>3.45</v>
      </c>
      <c r="G54" s="12">
        <v>17</v>
      </c>
      <c r="H54" s="8">
        <v>0.97</v>
      </c>
      <c r="I54" s="12">
        <v>0</v>
      </c>
    </row>
    <row r="55" spans="2:9" ht="15" customHeight="1" x14ac:dyDescent="0.2">
      <c r="B55" t="s">
        <v>155</v>
      </c>
      <c r="C55" s="12">
        <v>58</v>
      </c>
      <c r="D55" s="8">
        <v>1.92</v>
      </c>
      <c r="E55" s="12">
        <v>3</v>
      </c>
      <c r="F55" s="8">
        <v>0.25</v>
      </c>
      <c r="G55" s="12">
        <v>55</v>
      </c>
      <c r="H55" s="8">
        <v>3.13</v>
      </c>
      <c r="I55" s="12">
        <v>0</v>
      </c>
    </row>
    <row r="56" spans="2:9" ht="15" customHeight="1" x14ac:dyDescent="0.2">
      <c r="B56" t="s">
        <v>167</v>
      </c>
      <c r="C56" s="12">
        <v>55</v>
      </c>
      <c r="D56" s="8">
        <v>1.82</v>
      </c>
      <c r="E56" s="12">
        <v>48</v>
      </c>
      <c r="F56" s="8">
        <v>3.95</v>
      </c>
      <c r="G56" s="12">
        <v>7</v>
      </c>
      <c r="H56" s="8">
        <v>0.4</v>
      </c>
      <c r="I56" s="12">
        <v>0</v>
      </c>
    </row>
    <row r="57" spans="2:9" ht="15" customHeight="1" x14ac:dyDescent="0.2">
      <c r="B57" t="s">
        <v>160</v>
      </c>
      <c r="C57" s="12">
        <v>54</v>
      </c>
      <c r="D57" s="8">
        <v>1.79</v>
      </c>
      <c r="E57" s="12">
        <v>12</v>
      </c>
      <c r="F57" s="8">
        <v>0.99</v>
      </c>
      <c r="G57" s="12">
        <v>42</v>
      </c>
      <c r="H57" s="8">
        <v>2.39</v>
      </c>
      <c r="I57" s="12">
        <v>0</v>
      </c>
    </row>
    <row r="58" spans="2:9" ht="15" customHeight="1" x14ac:dyDescent="0.2">
      <c r="B58" t="s">
        <v>182</v>
      </c>
      <c r="C58" s="12">
        <v>54</v>
      </c>
      <c r="D58" s="8">
        <v>1.79</v>
      </c>
      <c r="E58" s="12">
        <v>16</v>
      </c>
      <c r="F58" s="8">
        <v>1.32</v>
      </c>
      <c r="G58" s="12">
        <v>38</v>
      </c>
      <c r="H58" s="8">
        <v>2.16</v>
      </c>
      <c r="I58" s="12">
        <v>0</v>
      </c>
    </row>
    <row r="59" spans="2:9" ht="15" customHeight="1" x14ac:dyDescent="0.2">
      <c r="B59" t="s">
        <v>159</v>
      </c>
      <c r="C59" s="12">
        <v>53</v>
      </c>
      <c r="D59" s="8">
        <v>1.76</v>
      </c>
      <c r="E59" s="12">
        <v>40</v>
      </c>
      <c r="F59" s="8">
        <v>3.29</v>
      </c>
      <c r="G59" s="12">
        <v>13</v>
      </c>
      <c r="H59" s="8">
        <v>0.74</v>
      </c>
      <c r="I59" s="12">
        <v>0</v>
      </c>
    </row>
    <row r="60" spans="2:9" ht="15" customHeight="1" x14ac:dyDescent="0.2">
      <c r="B60" t="s">
        <v>162</v>
      </c>
      <c r="C60" s="12">
        <v>53</v>
      </c>
      <c r="D60" s="8">
        <v>1.76</v>
      </c>
      <c r="E60" s="12">
        <v>11</v>
      </c>
      <c r="F60" s="8">
        <v>0.9</v>
      </c>
      <c r="G60" s="12">
        <v>42</v>
      </c>
      <c r="H60" s="8">
        <v>2.39</v>
      </c>
      <c r="I60" s="12">
        <v>0</v>
      </c>
    </row>
    <row r="61" spans="2:9" ht="15" customHeight="1" x14ac:dyDescent="0.2">
      <c r="B61" t="s">
        <v>203</v>
      </c>
      <c r="C61" s="12">
        <v>50</v>
      </c>
      <c r="D61" s="8">
        <v>1.66</v>
      </c>
      <c r="E61" s="12">
        <v>12</v>
      </c>
      <c r="F61" s="8">
        <v>0.99</v>
      </c>
      <c r="G61" s="12">
        <v>38</v>
      </c>
      <c r="H61" s="8">
        <v>2.16</v>
      </c>
      <c r="I61" s="12">
        <v>0</v>
      </c>
    </row>
    <row r="62" spans="2:9" ht="15" customHeight="1" x14ac:dyDescent="0.2">
      <c r="B62" t="s">
        <v>174</v>
      </c>
      <c r="C62" s="12">
        <v>50</v>
      </c>
      <c r="D62" s="8">
        <v>1.66</v>
      </c>
      <c r="E62" s="12">
        <v>10</v>
      </c>
      <c r="F62" s="8">
        <v>0.82</v>
      </c>
      <c r="G62" s="12">
        <v>40</v>
      </c>
      <c r="H62" s="8">
        <v>2.2799999999999998</v>
      </c>
      <c r="I62" s="12">
        <v>0</v>
      </c>
    </row>
    <row r="63" spans="2:9" ht="15" customHeight="1" x14ac:dyDescent="0.2">
      <c r="B63" t="s">
        <v>157</v>
      </c>
      <c r="C63" s="12">
        <v>47</v>
      </c>
      <c r="D63" s="8">
        <v>1.56</v>
      </c>
      <c r="E63" s="12">
        <v>17</v>
      </c>
      <c r="F63" s="8">
        <v>1.4</v>
      </c>
      <c r="G63" s="12">
        <v>30</v>
      </c>
      <c r="H63" s="8">
        <v>1.71</v>
      </c>
      <c r="I63" s="12">
        <v>0</v>
      </c>
    </row>
    <row r="64" spans="2:9" ht="15" customHeight="1" x14ac:dyDescent="0.2">
      <c r="B64" t="s">
        <v>165</v>
      </c>
      <c r="C64" s="12">
        <v>45</v>
      </c>
      <c r="D64" s="8">
        <v>1.49</v>
      </c>
      <c r="E64" s="12">
        <v>11</v>
      </c>
      <c r="F64" s="8">
        <v>0.9</v>
      </c>
      <c r="G64" s="12">
        <v>34</v>
      </c>
      <c r="H64" s="8">
        <v>1.93</v>
      </c>
      <c r="I64" s="12">
        <v>0</v>
      </c>
    </row>
    <row r="65" spans="2:9" ht="15" customHeight="1" x14ac:dyDescent="0.2">
      <c r="B65" t="s">
        <v>168</v>
      </c>
      <c r="C65" s="12">
        <v>45</v>
      </c>
      <c r="D65" s="8">
        <v>1.49</v>
      </c>
      <c r="E65" s="12">
        <v>42</v>
      </c>
      <c r="F65" s="8">
        <v>3.45</v>
      </c>
      <c r="G65" s="12">
        <v>3</v>
      </c>
      <c r="H65" s="8">
        <v>0.17</v>
      </c>
      <c r="I65" s="12">
        <v>0</v>
      </c>
    </row>
    <row r="66" spans="2:9" ht="15" customHeight="1" x14ac:dyDescent="0.2">
      <c r="B66" t="s">
        <v>177</v>
      </c>
      <c r="C66" s="12">
        <v>44</v>
      </c>
      <c r="D66" s="8">
        <v>1.46</v>
      </c>
      <c r="E66" s="12">
        <v>26</v>
      </c>
      <c r="F66" s="8">
        <v>2.14</v>
      </c>
      <c r="G66" s="12">
        <v>18</v>
      </c>
      <c r="H66" s="8">
        <v>1.02</v>
      </c>
      <c r="I66" s="12">
        <v>0</v>
      </c>
    </row>
    <row r="67" spans="2:9" ht="15" customHeight="1" x14ac:dyDescent="0.2">
      <c r="B67" t="s">
        <v>161</v>
      </c>
      <c r="C67" s="12">
        <v>44</v>
      </c>
      <c r="D67" s="8">
        <v>1.46</v>
      </c>
      <c r="E67" s="12">
        <v>27</v>
      </c>
      <c r="F67" s="8">
        <v>2.2200000000000002</v>
      </c>
      <c r="G67" s="12">
        <v>17</v>
      </c>
      <c r="H67" s="8">
        <v>0.97</v>
      </c>
      <c r="I67" s="12">
        <v>0</v>
      </c>
    </row>
    <row r="69" spans="2:9" ht="15" customHeight="1" x14ac:dyDescent="0.2">
      <c r="B69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68250-9CD9-4178-86E9-E1464A24E8E7}">
  <sheetPr>
    <pageSetUpPr fitToPage="1"/>
  </sheetPr>
  <dimension ref="A1:H1201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90</v>
      </c>
      <c r="B1" s="7" t="s">
        <v>91</v>
      </c>
      <c r="C1" s="7" t="s">
        <v>92</v>
      </c>
      <c r="D1" s="7" t="s">
        <v>93</v>
      </c>
      <c r="E1" s="7" t="s">
        <v>94</v>
      </c>
      <c r="F1" s="7" t="s">
        <v>95</v>
      </c>
      <c r="G1" s="7" t="s">
        <v>96</v>
      </c>
      <c r="H1" s="7" t="s">
        <v>97</v>
      </c>
    </row>
    <row r="2" spans="1:8" x14ac:dyDescent="0.2">
      <c r="A2" s="1" t="s">
        <v>0</v>
      </c>
      <c r="B2" s="4">
        <v>116161</v>
      </c>
      <c r="C2" s="5">
        <v>99.99</v>
      </c>
      <c r="D2" s="4">
        <v>55817</v>
      </c>
      <c r="E2" s="5">
        <v>99.990000000000009</v>
      </c>
      <c r="F2" s="4">
        <v>59259</v>
      </c>
      <c r="G2" s="5">
        <v>100</v>
      </c>
      <c r="H2" s="4">
        <v>244</v>
      </c>
    </row>
    <row r="3" spans="1:8" x14ac:dyDescent="0.2">
      <c r="A3" s="2" t="s">
        <v>75</v>
      </c>
      <c r="B3" s="4">
        <v>14</v>
      </c>
      <c r="C3" s="5">
        <v>0.01</v>
      </c>
      <c r="D3" s="4">
        <v>1</v>
      </c>
      <c r="E3" s="5">
        <v>0</v>
      </c>
      <c r="F3" s="4">
        <v>13</v>
      </c>
      <c r="G3" s="5">
        <v>0.02</v>
      </c>
      <c r="H3" s="4">
        <v>0</v>
      </c>
    </row>
    <row r="4" spans="1:8" x14ac:dyDescent="0.2">
      <c r="A4" s="2" t="s">
        <v>76</v>
      </c>
      <c r="B4" s="4">
        <v>15601</v>
      </c>
      <c r="C4" s="5">
        <v>13.43</v>
      </c>
      <c r="D4" s="4">
        <v>4065</v>
      </c>
      <c r="E4" s="5">
        <v>7.28</v>
      </c>
      <c r="F4" s="4">
        <v>11535</v>
      </c>
      <c r="G4" s="5">
        <v>19.47</v>
      </c>
      <c r="H4" s="4">
        <v>1</v>
      </c>
    </row>
    <row r="5" spans="1:8" x14ac:dyDescent="0.2">
      <c r="A5" s="2" t="s">
        <v>77</v>
      </c>
      <c r="B5" s="4">
        <v>7184</v>
      </c>
      <c r="C5" s="5">
        <v>6.18</v>
      </c>
      <c r="D5" s="4">
        <v>2815</v>
      </c>
      <c r="E5" s="5">
        <v>5.04</v>
      </c>
      <c r="F5" s="4">
        <v>4350</v>
      </c>
      <c r="G5" s="5">
        <v>7.34</v>
      </c>
      <c r="H5" s="4">
        <v>19</v>
      </c>
    </row>
    <row r="6" spans="1:8" x14ac:dyDescent="0.2">
      <c r="A6" s="2" t="s">
        <v>78</v>
      </c>
      <c r="B6" s="4">
        <v>208</v>
      </c>
      <c r="C6" s="5">
        <v>0.18</v>
      </c>
      <c r="D6" s="4">
        <v>2</v>
      </c>
      <c r="E6" s="5">
        <v>0</v>
      </c>
      <c r="F6" s="4">
        <v>171</v>
      </c>
      <c r="G6" s="5">
        <v>0.28999999999999998</v>
      </c>
      <c r="H6" s="4">
        <v>0</v>
      </c>
    </row>
    <row r="7" spans="1:8" x14ac:dyDescent="0.2">
      <c r="A7" s="2" t="s">
        <v>79</v>
      </c>
      <c r="B7" s="4">
        <v>1494</v>
      </c>
      <c r="C7" s="5">
        <v>1.29</v>
      </c>
      <c r="D7" s="4">
        <v>90</v>
      </c>
      <c r="E7" s="5">
        <v>0.16</v>
      </c>
      <c r="F7" s="4">
        <v>1401</v>
      </c>
      <c r="G7" s="5">
        <v>2.36</v>
      </c>
      <c r="H7" s="4">
        <v>3</v>
      </c>
    </row>
    <row r="8" spans="1:8" x14ac:dyDescent="0.2">
      <c r="A8" s="2" t="s">
        <v>80</v>
      </c>
      <c r="B8" s="4">
        <v>1311</v>
      </c>
      <c r="C8" s="5">
        <v>1.1299999999999999</v>
      </c>
      <c r="D8" s="4">
        <v>330</v>
      </c>
      <c r="E8" s="5">
        <v>0.59</v>
      </c>
      <c r="F8" s="4">
        <v>968</v>
      </c>
      <c r="G8" s="5">
        <v>1.63</v>
      </c>
      <c r="H8" s="4">
        <v>10</v>
      </c>
    </row>
    <row r="9" spans="1:8" x14ac:dyDescent="0.2">
      <c r="A9" s="2" t="s">
        <v>81</v>
      </c>
      <c r="B9" s="4">
        <v>29081</v>
      </c>
      <c r="C9" s="5">
        <v>25.04</v>
      </c>
      <c r="D9" s="4">
        <v>12465</v>
      </c>
      <c r="E9" s="5">
        <v>22.33</v>
      </c>
      <c r="F9" s="4">
        <v>16588</v>
      </c>
      <c r="G9" s="5">
        <v>27.99</v>
      </c>
      <c r="H9" s="4">
        <v>28</v>
      </c>
    </row>
    <row r="10" spans="1:8" x14ac:dyDescent="0.2">
      <c r="A10" s="2" t="s">
        <v>82</v>
      </c>
      <c r="B10" s="4">
        <v>906</v>
      </c>
      <c r="C10" s="5">
        <v>0.78</v>
      </c>
      <c r="D10" s="4">
        <v>129</v>
      </c>
      <c r="E10" s="5">
        <v>0.23</v>
      </c>
      <c r="F10" s="4">
        <v>774</v>
      </c>
      <c r="G10" s="5">
        <v>1.31</v>
      </c>
      <c r="H10" s="4">
        <v>3</v>
      </c>
    </row>
    <row r="11" spans="1:8" x14ac:dyDescent="0.2">
      <c r="A11" s="2" t="s">
        <v>83</v>
      </c>
      <c r="B11" s="4">
        <v>11214</v>
      </c>
      <c r="C11" s="5">
        <v>9.65</v>
      </c>
      <c r="D11" s="4">
        <v>3403</v>
      </c>
      <c r="E11" s="5">
        <v>6.1</v>
      </c>
      <c r="F11" s="4">
        <v>7784</v>
      </c>
      <c r="G11" s="5">
        <v>13.14</v>
      </c>
      <c r="H11" s="4">
        <v>12</v>
      </c>
    </row>
    <row r="12" spans="1:8" x14ac:dyDescent="0.2">
      <c r="A12" s="2" t="s">
        <v>84</v>
      </c>
      <c r="B12" s="4">
        <v>7082</v>
      </c>
      <c r="C12" s="5">
        <v>6.1</v>
      </c>
      <c r="D12" s="4">
        <v>3257</v>
      </c>
      <c r="E12" s="5">
        <v>5.84</v>
      </c>
      <c r="F12" s="4">
        <v>3794</v>
      </c>
      <c r="G12" s="5">
        <v>6.4</v>
      </c>
      <c r="H12" s="4">
        <v>12</v>
      </c>
    </row>
    <row r="13" spans="1:8" x14ac:dyDescent="0.2">
      <c r="A13" s="2" t="s">
        <v>85</v>
      </c>
      <c r="B13" s="4">
        <v>13793</v>
      </c>
      <c r="C13" s="5">
        <v>11.87</v>
      </c>
      <c r="D13" s="4">
        <v>11310</v>
      </c>
      <c r="E13" s="5">
        <v>20.260000000000002</v>
      </c>
      <c r="F13" s="4">
        <v>2463</v>
      </c>
      <c r="G13" s="5">
        <v>4.16</v>
      </c>
      <c r="H13" s="4">
        <v>3</v>
      </c>
    </row>
    <row r="14" spans="1:8" x14ac:dyDescent="0.2">
      <c r="A14" s="2" t="s">
        <v>86</v>
      </c>
      <c r="B14" s="4">
        <v>13817</v>
      </c>
      <c r="C14" s="5">
        <v>11.89</v>
      </c>
      <c r="D14" s="4">
        <v>10364</v>
      </c>
      <c r="E14" s="5">
        <v>18.57</v>
      </c>
      <c r="F14" s="4">
        <v>3404</v>
      </c>
      <c r="G14" s="5">
        <v>5.74</v>
      </c>
      <c r="H14" s="4">
        <v>14</v>
      </c>
    </row>
    <row r="15" spans="1:8" x14ac:dyDescent="0.2">
      <c r="A15" s="2" t="s">
        <v>87</v>
      </c>
      <c r="B15" s="4">
        <v>3802</v>
      </c>
      <c r="C15" s="5">
        <v>3.27</v>
      </c>
      <c r="D15" s="4">
        <v>2400</v>
      </c>
      <c r="E15" s="5">
        <v>4.3</v>
      </c>
      <c r="F15" s="4">
        <v>1035</v>
      </c>
      <c r="G15" s="5">
        <v>1.75</v>
      </c>
      <c r="H15" s="4">
        <v>75</v>
      </c>
    </row>
    <row r="16" spans="1:8" x14ac:dyDescent="0.2">
      <c r="A16" s="2" t="s">
        <v>88</v>
      </c>
      <c r="B16" s="4">
        <v>5901</v>
      </c>
      <c r="C16" s="5">
        <v>5.08</v>
      </c>
      <c r="D16" s="4">
        <v>3496</v>
      </c>
      <c r="E16" s="5">
        <v>6.26</v>
      </c>
      <c r="F16" s="4">
        <v>2213</v>
      </c>
      <c r="G16" s="5">
        <v>3.73</v>
      </c>
      <c r="H16" s="4">
        <v>14</v>
      </c>
    </row>
    <row r="17" spans="1:8" x14ac:dyDescent="0.2">
      <c r="A17" s="2" t="s">
        <v>89</v>
      </c>
      <c r="B17" s="4">
        <v>4753</v>
      </c>
      <c r="C17" s="5">
        <v>4.09</v>
      </c>
      <c r="D17" s="4">
        <v>1690</v>
      </c>
      <c r="E17" s="5">
        <v>3.03</v>
      </c>
      <c r="F17" s="4">
        <v>2766</v>
      </c>
      <c r="G17" s="5">
        <v>4.67</v>
      </c>
      <c r="H17" s="4">
        <v>50</v>
      </c>
    </row>
    <row r="18" spans="1:8" x14ac:dyDescent="0.2">
      <c r="A18" s="1" t="s">
        <v>1</v>
      </c>
      <c r="B18" s="4">
        <v>22488</v>
      </c>
      <c r="C18" s="5">
        <v>99.990000000000009</v>
      </c>
      <c r="D18" s="4">
        <v>11103</v>
      </c>
      <c r="E18" s="5">
        <v>99.990000000000009</v>
      </c>
      <c r="F18" s="4">
        <v>11180</v>
      </c>
      <c r="G18" s="5">
        <v>100.00999999999999</v>
      </c>
      <c r="H18" s="4">
        <v>40</v>
      </c>
    </row>
    <row r="19" spans="1:8" x14ac:dyDescent="0.2">
      <c r="A19" s="2" t="s">
        <v>75</v>
      </c>
      <c r="B19" s="4">
        <v>3</v>
      </c>
      <c r="C19" s="5">
        <v>0.01</v>
      </c>
      <c r="D19" s="4">
        <v>0</v>
      </c>
      <c r="E19" s="5">
        <v>0</v>
      </c>
      <c r="F19" s="4">
        <v>3</v>
      </c>
      <c r="G19" s="5">
        <v>0.03</v>
      </c>
      <c r="H19" s="4">
        <v>0</v>
      </c>
    </row>
    <row r="20" spans="1:8" x14ac:dyDescent="0.2">
      <c r="A20" s="2" t="s">
        <v>76</v>
      </c>
      <c r="B20" s="4">
        <v>3074</v>
      </c>
      <c r="C20" s="5">
        <v>13.67</v>
      </c>
      <c r="D20" s="4">
        <v>592</v>
      </c>
      <c r="E20" s="5">
        <v>5.33</v>
      </c>
      <c r="F20" s="4">
        <v>2482</v>
      </c>
      <c r="G20" s="5">
        <v>22.2</v>
      </c>
      <c r="H20" s="4">
        <v>0</v>
      </c>
    </row>
    <row r="21" spans="1:8" x14ac:dyDescent="0.2">
      <c r="A21" s="2" t="s">
        <v>77</v>
      </c>
      <c r="B21" s="4">
        <v>1143</v>
      </c>
      <c r="C21" s="5">
        <v>5.08</v>
      </c>
      <c r="D21" s="4">
        <v>328</v>
      </c>
      <c r="E21" s="5">
        <v>2.95</v>
      </c>
      <c r="F21" s="4">
        <v>815</v>
      </c>
      <c r="G21" s="5">
        <v>7.29</v>
      </c>
      <c r="H21" s="4">
        <v>0</v>
      </c>
    </row>
    <row r="22" spans="1:8" x14ac:dyDescent="0.2">
      <c r="A22" s="2" t="s">
        <v>78</v>
      </c>
      <c r="B22" s="4">
        <v>32</v>
      </c>
      <c r="C22" s="5">
        <v>0.14000000000000001</v>
      </c>
      <c r="D22" s="4">
        <v>0</v>
      </c>
      <c r="E22" s="5">
        <v>0</v>
      </c>
      <c r="F22" s="4">
        <v>32</v>
      </c>
      <c r="G22" s="5">
        <v>0.28999999999999998</v>
      </c>
      <c r="H22" s="4">
        <v>0</v>
      </c>
    </row>
    <row r="23" spans="1:8" x14ac:dyDescent="0.2">
      <c r="A23" s="2" t="s">
        <v>79</v>
      </c>
      <c r="B23" s="4">
        <v>175</v>
      </c>
      <c r="C23" s="5">
        <v>0.78</v>
      </c>
      <c r="D23" s="4">
        <v>18</v>
      </c>
      <c r="E23" s="5">
        <v>0.16</v>
      </c>
      <c r="F23" s="4">
        <v>157</v>
      </c>
      <c r="G23" s="5">
        <v>1.4</v>
      </c>
      <c r="H23" s="4">
        <v>0</v>
      </c>
    </row>
    <row r="24" spans="1:8" x14ac:dyDescent="0.2">
      <c r="A24" s="2" t="s">
        <v>80</v>
      </c>
      <c r="B24" s="4">
        <v>329</v>
      </c>
      <c r="C24" s="5">
        <v>1.46</v>
      </c>
      <c r="D24" s="4">
        <v>86</v>
      </c>
      <c r="E24" s="5">
        <v>0.77</v>
      </c>
      <c r="F24" s="4">
        <v>238</v>
      </c>
      <c r="G24" s="5">
        <v>2.13</v>
      </c>
      <c r="H24" s="4">
        <v>2</v>
      </c>
    </row>
    <row r="25" spans="1:8" x14ac:dyDescent="0.2">
      <c r="A25" s="2" t="s">
        <v>81</v>
      </c>
      <c r="B25" s="4">
        <v>5482</v>
      </c>
      <c r="C25" s="5">
        <v>24.38</v>
      </c>
      <c r="D25" s="4">
        <v>2494</v>
      </c>
      <c r="E25" s="5">
        <v>22.46</v>
      </c>
      <c r="F25" s="4">
        <v>2983</v>
      </c>
      <c r="G25" s="5">
        <v>26.68</v>
      </c>
      <c r="H25" s="4">
        <v>5</v>
      </c>
    </row>
    <row r="26" spans="1:8" x14ac:dyDescent="0.2">
      <c r="A26" s="2" t="s">
        <v>82</v>
      </c>
      <c r="B26" s="4">
        <v>208</v>
      </c>
      <c r="C26" s="5">
        <v>0.92</v>
      </c>
      <c r="D26" s="4">
        <v>24</v>
      </c>
      <c r="E26" s="5">
        <v>0.22</v>
      </c>
      <c r="F26" s="4">
        <v>184</v>
      </c>
      <c r="G26" s="5">
        <v>1.65</v>
      </c>
      <c r="H26" s="4">
        <v>0</v>
      </c>
    </row>
    <row r="27" spans="1:8" x14ac:dyDescent="0.2">
      <c r="A27" s="2" t="s">
        <v>83</v>
      </c>
      <c r="B27" s="4">
        <v>2574</v>
      </c>
      <c r="C27" s="5">
        <v>11.45</v>
      </c>
      <c r="D27" s="4">
        <v>1121</v>
      </c>
      <c r="E27" s="5">
        <v>10.1</v>
      </c>
      <c r="F27" s="4">
        <v>1451</v>
      </c>
      <c r="G27" s="5">
        <v>12.98</v>
      </c>
      <c r="H27" s="4">
        <v>2</v>
      </c>
    </row>
    <row r="28" spans="1:8" x14ac:dyDescent="0.2">
      <c r="A28" s="2" t="s">
        <v>84</v>
      </c>
      <c r="B28" s="4">
        <v>1145</v>
      </c>
      <c r="C28" s="5">
        <v>5.09</v>
      </c>
      <c r="D28" s="4">
        <v>550</v>
      </c>
      <c r="E28" s="5">
        <v>4.95</v>
      </c>
      <c r="F28" s="4">
        <v>592</v>
      </c>
      <c r="G28" s="5">
        <v>5.3</v>
      </c>
      <c r="H28" s="4">
        <v>1</v>
      </c>
    </row>
    <row r="29" spans="1:8" x14ac:dyDescent="0.2">
      <c r="A29" s="2" t="s">
        <v>85</v>
      </c>
      <c r="B29" s="4">
        <v>2846</v>
      </c>
      <c r="C29" s="5">
        <v>12.66</v>
      </c>
      <c r="D29" s="4">
        <v>2375</v>
      </c>
      <c r="E29" s="5">
        <v>21.39</v>
      </c>
      <c r="F29" s="4">
        <v>469</v>
      </c>
      <c r="G29" s="5">
        <v>4.1900000000000004</v>
      </c>
      <c r="H29" s="4">
        <v>1</v>
      </c>
    </row>
    <row r="30" spans="1:8" x14ac:dyDescent="0.2">
      <c r="A30" s="2" t="s">
        <v>86</v>
      </c>
      <c r="B30" s="4">
        <v>2744</v>
      </c>
      <c r="C30" s="5">
        <v>12.2</v>
      </c>
      <c r="D30" s="4">
        <v>2097</v>
      </c>
      <c r="E30" s="5">
        <v>18.89</v>
      </c>
      <c r="F30" s="4">
        <v>644</v>
      </c>
      <c r="G30" s="5">
        <v>5.76</v>
      </c>
      <c r="H30" s="4">
        <v>2</v>
      </c>
    </row>
    <row r="31" spans="1:8" x14ac:dyDescent="0.2">
      <c r="A31" s="2" t="s">
        <v>87</v>
      </c>
      <c r="B31" s="4">
        <v>678</v>
      </c>
      <c r="C31" s="5">
        <v>3.01</v>
      </c>
      <c r="D31" s="4">
        <v>471</v>
      </c>
      <c r="E31" s="5">
        <v>4.24</v>
      </c>
      <c r="F31" s="4">
        <v>186</v>
      </c>
      <c r="G31" s="5">
        <v>1.66</v>
      </c>
      <c r="H31" s="4">
        <v>16</v>
      </c>
    </row>
    <row r="32" spans="1:8" x14ac:dyDescent="0.2">
      <c r="A32" s="2" t="s">
        <v>88</v>
      </c>
      <c r="B32" s="4">
        <v>1160</v>
      </c>
      <c r="C32" s="5">
        <v>5.16</v>
      </c>
      <c r="D32" s="4">
        <v>709</v>
      </c>
      <c r="E32" s="5">
        <v>6.39</v>
      </c>
      <c r="F32" s="4">
        <v>438</v>
      </c>
      <c r="G32" s="5">
        <v>3.92</v>
      </c>
      <c r="H32" s="4">
        <v>1</v>
      </c>
    </row>
    <row r="33" spans="1:8" x14ac:dyDescent="0.2">
      <c r="A33" s="2" t="s">
        <v>89</v>
      </c>
      <c r="B33" s="4">
        <v>895</v>
      </c>
      <c r="C33" s="5">
        <v>3.98</v>
      </c>
      <c r="D33" s="4">
        <v>238</v>
      </c>
      <c r="E33" s="5">
        <v>2.14</v>
      </c>
      <c r="F33" s="4">
        <v>506</v>
      </c>
      <c r="G33" s="5">
        <v>4.53</v>
      </c>
      <c r="H33" s="4">
        <v>10</v>
      </c>
    </row>
    <row r="34" spans="1:8" x14ac:dyDescent="0.2">
      <c r="A34" s="1" t="s">
        <v>2</v>
      </c>
      <c r="B34" s="4">
        <v>2279</v>
      </c>
      <c r="C34" s="5">
        <v>100.00000000000001</v>
      </c>
      <c r="D34" s="4">
        <v>1214</v>
      </c>
      <c r="E34" s="5">
        <v>99.99</v>
      </c>
      <c r="F34" s="4">
        <v>1032</v>
      </c>
      <c r="G34" s="5">
        <v>100.01</v>
      </c>
      <c r="H34" s="4">
        <v>8</v>
      </c>
    </row>
    <row r="35" spans="1:8" x14ac:dyDescent="0.2">
      <c r="A35" s="2" t="s">
        <v>75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2">
      <c r="A36" s="2" t="s">
        <v>76</v>
      </c>
      <c r="B36" s="4">
        <v>267</v>
      </c>
      <c r="C36" s="5">
        <v>11.72</v>
      </c>
      <c r="D36" s="4">
        <v>53</v>
      </c>
      <c r="E36" s="5">
        <v>4.37</v>
      </c>
      <c r="F36" s="4">
        <v>214</v>
      </c>
      <c r="G36" s="5">
        <v>20.74</v>
      </c>
      <c r="H36" s="4">
        <v>0</v>
      </c>
    </row>
    <row r="37" spans="1:8" x14ac:dyDescent="0.2">
      <c r="A37" s="2" t="s">
        <v>77</v>
      </c>
      <c r="B37" s="4">
        <v>134</v>
      </c>
      <c r="C37" s="5">
        <v>5.88</v>
      </c>
      <c r="D37" s="4">
        <v>39</v>
      </c>
      <c r="E37" s="5">
        <v>3.21</v>
      </c>
      <c r="F37" s="4">
        <v>95</v>
      </c>
      <c r="G37" s="5">
        <v>9.2100000000000009</v>
      </c>
      <c r="H37" s="4">
        <v>0</v>
      </c>
    </row>
    <row r="38" spans="1:8" x14ac:dyDescent="0.2">
      <c r="A38" s="2" t="s">
        <v>78</v>
      </c>
      <c r="B38" s="4">
        <v>4</v>
      </c>
      <c r="C38" s="5">
        <v>0.18</v>
      </c>
      <c r="D38" s="4">
        <v>0</v>
      </c>
      <c r="E38" s="5">
        <v>0</v>
      </c>
      <c r="F38" s="4">
        <v>4</v>
      </c>
      <c r="G38" s="5">
        <v>0.39</v>
      </c>
      <c r="H38" s="4">
        <v>0</v>
      </c>
    </row>
    <row r="39" spans="1:8" x14ac:dyDescent="0.2">
      <c r="A39" s="2" t="s">
        <v>79</v>
      </c>
      <c r="B39" s="4">
        <v>11</v>
      </c>
      <c r="C39" s="5">
        <v>0.48</v>
      </c>
      <c r="D39" s="4">
        <v>1</v>
      </c>
      <c r="E39" s="5">
        <v>0.08</v>
      </c>
      <c r="F39" s="4">
        <v>10</v>
      </c>
      <c r="G39" s="5">
        <v>0.97</v>
      </c>
      <c r="H39" s="4">
        <v>0</v>
      </c>
    </row>
    <row r="40" spans="1:8" x14ac:dyDescent="0.2">
      <c r="A40" s="2" t="s">
        <v>80</v>
      </c>
      <c r="B40" s="4">
        <v>85</v>
      </c>
      <c r="C40" s="5">
        <v>3.73</v>
      </c>
      <c r="D40" s="4">
        <v>10</v>
      </c>
      <c r="E40" s="5">
        <v>0.82</v>
      </c>
      <c r="F40" s="4">
        <v>74</v>
      </c>
      <c r="G40" s="5">
        <v>7.17</v>
      </c>
      <c r="H40" s="4">
        <v>1</v>
      </c>
    </row>
    <row r="41" spans="1:8" x14ac:dyDescent="0.2">
      <c r="A41" s="2" t="s">
        <v>81</v>
      </c>
      <c r="B41" s="4">
        <v>604</v>
      </c>
      <c r="C41" s="5">
        <v>26.5</v>
      </c>
      <c r="D41" s="4">
        <v>318</v>
      </c>
      <c r="E41" s="5">
        <v>26.19</v>
      </c>
      <c r="F41" s="4">
        <v>286</v>
      </c>
      <c r="G41" s="5">
        <v>27.71</v>
      </c>
      <c r="H41" s="4">
        <v>0</v>
      </c>
    </row>
    <row r="42" spans="1:8" x14ac:dyDescent="0.2">
      <c r="A42" s="2" t="s">
        <v>82</v>
      </c>
      <c r="B42" s="4">
        <v>19</v>
      </c>
      <c r="C42" s="5">
        <v>0.83</v>
      </c>
      <c r="D42" s="4">
        <v>1</v>
      </c>
      <c r="E42" s="5">
        <v>0.08</v>
      </c>
      <c r="F42" s="4">
        <v>18</v>
      </c>
      <c r="G42" s="5">
        <v>1.74</v>
      </c>
      <c r="H42" s="4">
        <v>0</v>
      </c>
    </row>
    <row r="43" spans="1:8" x14ac:dyDescent="0.2">
      <c r="A43" s="2" t="s">
        <v>83</v>
      </c>
      <c r="B43" s="4">
        <v>239</v>
      </c>
      <c r="C43" s="5">
        <v>10.49</v>
      </c>
      <c r="D43" s="4">
        <v>142</v>
      </c>
      <c r="E43" s="5">
        <v>11.7</v>
      </c>
      <c r="F43" s="4">
        <v>97</v>
      </c>
      <c r="G43" s="5">
        <v>9.4</v>
      </c>
      <c r="H43" s="4">
        <v>0</v>
      </c>
    </row>
    <row r="44" spans="1:8" x14ac:dyDescent="0.2">
      <c r="A44" s="2" t="s">
        <v>84</v>
      </c>
      <c r="B44" s="4">
        <v>79</v>
      </c>
      <c r="C44" s="5">
        <v>3.47</v>
      </c>
      <c r="D44" s="4">
        <v>35</v>
      </c>
      <c r="E44" s="5">
        <v>2.88</v>
      </c>
      <c r="F44" s="4">
        <v>43</v>
      </c>
      <c r="G44" s="5">
        <v>4.17</v>
      </c>
      <c r="H44" s="4">
        <v>0</v>
      </c>
    </row>
    <row r="45" spans="1:8" x14ac:dyDescent="0.2">
      <c r="A45" s="2" t="s">
        <v>85</v>
      </c>
      <c r="B45" s="4">
        <v>341</v>
      </c>
      <c r="C45" s="5">
        <v>14.96</v>
      </c>
      <c r="D45" s="4">
        <v>296</v>
      </c>
      <c r="E45" s="5">
        <v>24.38</v>
      </c>
      <c r="F45" s="4">
        <v>45</v>
      </c>
      <c r="G45" s="5">
        <v>4.3600000000000003</v>
      </c>
      <c r="H45" s="4">
        <v>0</v>
      </c>
    </row>
    <row r="46" spans="1:8" x14ac:dyDescent="0.2">
      <c r="A46" s="2" t="s">
        <v>86</v>
      </c>
      <c r="B46" s="4">
        <v>256</v>
      </c>
      <c r="C46" s="5">
        <v>11.23</v>
      </c>
      <c r="D46" s="4">
        <v>202</v>
      </c>
      <c r="E46" s="5">
        <v>16.64</v>
      </c>
      <c r="F46" s="4">
        <v>53</v>
      </c>
      <c r="G46" s="5">
        <v>5.14</v>
      </c>
      <c r="H46" s="4">
        <v>0</v>
      </c>
    </row>
    <row r="47" spans="1:8" x14ac:dyDescent="0.2">
      <c r="A47" s="2" t="s">
        <v>87</v>
      </c>
      <c r="B47" s="4">
        <v>67</v>
      </c>
      <c r="C47" s="5">
        <v>2.94</v>
      </c>
      <c r="D47" s="4">
        <v>45</v>
      </c>
      <c r="E47" s="5">
        <v>3.71</v>
      </c>
      <c r="F47" s="4">
        <v>14</v>
      </c>
      <c r="G47" s="5">
        <v>1.36</v>
      </c>
      <c r="H47" s="4">
        <v>7</v>
      </c>
    </row>
    <row r="48" spans="1:8" x14ac:dyDescent="0.2">
      <c r="A48" s="2" t="s">
        <v>88</v>
      </c>
      <c r="B48" s="4">
        <v>97</v>
      </c>
      <c r="C48" s="5">
        <v>4.26</v>
      </c>
      <c r="D48" s="4">
        <v>59</v>
      </c>
      <c r="E48" s="5">
        <v>4.8600000000000003</v>
      </c>
      <c r="F48" s="4">
        <v>35</v>
      </c>
      <c r="G48" s="5">
        <v>3.39</v>
      </c>
      <c r="H48" s="4">
        <v>0</v>
      </c>
    </row>
    <row r="49" spans="1:8" x14ac:dyDescent="0.2">
      <c r="A49" s="2" t="s">
        <v>89</v>
      </c>
      <c r="B49" s="4">
        <v>76</v>
      </c>
      <c r="C49" s="5">
        <v>3.33</v>
      </c>
      <c r="D49" s="4">
        <v>13</v>
      </c>
      <c r="E49" s="5">
        <v>1.07</v>
      </c>
      <c r="F49" s="4">
        <v>44</v>
      </c>
      <c r="G49" s="5">
        <v>4.26</v>
      </c>
      <c r="H49" s="4">
        <v>0</v>
      </c>
    </row>
    <row r="50" spans="1:8" x14ac:dyDescent="0.2">
      <c r="A50" s="1" t="s">
        <v>3</v>
      </c>
      <c r="B50" s="4">
        <v>1839</v>
      </c>
      <c r="C50" s="5">
        <v>100.01000000000002</v>
      </c>
      <c r="D50" s="4">
        <v>904</v>
      </c>
      <c r="E50" s="5">
        <v>100.01</v>
      </c>
      <c r="F50" s="4">
        <v>916</v>
      </c>
      <c r="G50" s="5">
        <v>100.01</v>
      </c>
      <c r="H50" s="4">
        <v>5</v>
      </c>
    </row>
    <row r="51" spans="1:8" x14ac:dyDescent="0.2">
      <c r="A51" s="2" t="s">
        <v>75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2">
      <c r="A52" s="2" t="s">
        <v>76</v>
      </c>
      <c r="B52" s="4">
        <v>246</v>
      </c>
      <c r="C52" s="5">
        <v>13.38</v>
      </c>
      <c r="D52" s="4">
        <v>55</v>
      </c>
      <c r="E52" s="5">
        <v>6.08</v>
      </c>
      <c r="F52" s="4">
        <v>191</v>
      </c>
      <c r="G52" s="5">
        <v>20.85</v>
      </c>
      <c r="H52" s="4">
        <v>0</v>
      </c>
    </row>
    <row r="53" spans="1:8" x14ac:dyDescent="0.2">
      <c r="A53" s="2" t="s">
        <v>77</v>
      </c>
      <c r="B53" s="4">
        <v>182</v>
      </c>
      <c r="C53" s="5">
        <v>9.9</v>
      </c>
      <c r="D53" s="4">
        <v>45</v>
      </c>
      <c r="E53" s="5">
        <v>4.9800000000000004</v>
      </c>
      <c r="F53" s="4">
        <v>137</v>
      </c>
      <c r="G53" s="5">
        <v>14.96</v>
      </c>
      <c r="H53" s="4">
        <v>0</v>
      </c>
    </row>
    <row r="54" spans="1:8" x14ac:dyDescent="0.2">
      <c r="A54" s="2" t="s">
        <v>78</v>
      </c>
      <c r="B54" s="4">
        <v>8</v>
      </c>
      <c r="C54" s="5">
        <v>0.44</v>
      </c>
      <c r="D54" s="4">
        <v>0</v>
      </c>
      <c r="E54" s="5">
        <v>0</v>
      </c>
      <c r="F54" s="4">
        <v>8</v>
      </c>
      <c r="G54" s="5">
        <v>0.87</v>
      </c>
      <c r="H54" s="4">
        <v>0</v>
      </c>
    </row>
    <row r="55" spans="1:8" x14ac:dyDescent="0.2">
      <c r="A55" s="2" t="s">
        <v>79</v>
      </c>
      <c r="B55" s="4">
        <v>7</v>
      </c>
      <c r="C55" s="5">
        <v>0.38</v>
      </c>
      <c r="D55" s="4">
        <v>0</v>
      </c>
      <c r="E55" s="5">
        <v>0</v>
      </c>
      <c r="F55" s="4">
        <v>7</v>
      </c>
      <c r="G55" s="5">
        <v>0.76</v>
      </c>
      <c r="H55" s="4">
        <v>0</v>
      </c>
    </row>
    <row r="56" spans="1:8" x14ac:dyDescent="0.2">
      <c r="A56" s="2" t="s">
        <v>80</v>
      </c>
      <c r="B56" s="4">
        <v>51</v>
      </c>
      <c r="C56" s="5">
        <v>2.77</v>
      </c>
      <c r="D56" s="4">
        <v>10</v>
      </c>
      <c r="E56" s="5">
        <v>1.1100000000000001</v>
      </c>
      <c r="F56" s="4">
        <v>39</v>
      </c>
      <c r="G56" s="5">
        <v>4.26</v>
      </c>
      <c r="H56" s="4">
        <v>1</v>
      </c>
    </row>
    <row r="57" spans="1:8" x14ac:dyDescent="0.2">
      <c r="A57" s="2" t="s">
        <v>81</v>
      </c>
      <c r="B57" s="4">
        <v>426</v>
      </c>
      <c r="C57" s="5">
        <v>23.16</v>
      </c>
      <c r="D57" s="4">
        <v>210</v>
      </c>
      <c r="E57" s="5">
        <v>23.23</v>
      </c>
      <c r="F57" s="4">
        <v>216</v>
      </c>
      <c r="G57" s="5">
        <v>23.58</v>
      </c>
      <c r="H57" s="4">
        <v>0</v>
      </c>
    </row>
    <row r="58" spans="1:8" x14ac:dyDescent="0.2">
      <c r="A58" s="2" t="s">
        <v>82</v>
      </c>
      <c r="B58" s="4">
        <v>7</v>
      </c>
      <c r="C58" s="5">
        <v>0.38</v>
      </c>
      <c r="D58" s="4">
        <v>2</v>
      </c>
      <c r="E58" s="5">
        <v>0.22</v>
      </c>
      <c r="F58" s="4">
        <v>5</v>
      </c>
      <c r="G58" s="5">
        <v>0.55000000000000004</v>
      </c>
      <c r="H58" s="4">
        <v>0</v>
      </c>
    </row>
    <row r="59" spans="1:8" x14ac:dyDescent="0.2">
      <c r="A59" s="2" t="s">
        <v>83</v>
      </c>
      <c r="B59" s="4">
        <v>175</v>
      </c>
      <c r="C59" s="5">
        <v>9.52</v>
      </c>
      <c r="D59" s="4">
        <v>78</v>
      </c>
      <c r="E59" s="5">
        <v>8.6300000000000008</v>
      </c>
      <c r="F59" s="4">
        <v>97</v>
      </c>
      <c r="G59" s="5">
        <v>10.59</v>
      </c>
      <c r="H59" s="4">
        <v>0</v>
      </c>
    </row>
    <row r="60" spans="1:8" x14ac:dyDescent="0.2">
      <c r="A60" s="2" t="s">
        <v>84</v>
      </c>
      <c r="B60" s="4">
        <v>100</v>
      </c>
      <c r="C60" s="5">
        <v>5.44</v>
      </c>
      <c r="D60" s="4">
        <v>45</v>
      </c>
      <c r="E60" s="5">
        <v>4.9800000000000004</v>
      </c>
      <c r="F60" s="4">
        <v>55</v>
      </c>
      <c r="G60" s="5">
        <v>6</v>
      </c>
      <c r="H60" s="4">
        <v>0</v>
      </c>
    </row>
    <row r="61" spans="1:8" x14ac:dyDescent="0.2">
      <c r="A61" s="2" t="s">
        <v>85</v>
      </c>
      <c r="B61" s="4">
        <v>174</v>
      </c>
      <c r="C61" s="5">
        <v>9.4600000000000009</v>
      </c>
      <c r="D61" s="4">
        <v>145</v>
      </c>
      <c r="E61" s="5">
        <v>16.04</v>
      </c>
      <c r="F61" s="4">
        <v>28</v>
      </c>
      <c r="G61" s="5">
        <v>3.06</v>
      </c>
      <c r="H61" s="4">
        <v>1</v>
      </c>
    </row>
    <row r="62" spans="1:8" x14ac:dyDescent="0.2">
      <c r="A62" s="2" t="s">
        <v>86</v>
      </c>
      <c r="B62" s="4">
        <v>240</v>
      </c>
      <c r="C62" s="5">
        <v>13.05</v>
      </c>
      <c r="D62" s="4">
        <v>192</v>
      </c>
      <c r="E62" s="5">
        <v>21.24</v>
      </c>
      <c r="F62" s="4">
        <v>48</v>
      </c>
      <c r="G62" s="5">
        <v>5.24</v>
      </c>
      <c r="H62" s="4">
        <v>0</v>
      </c>
    </row>
    <row r="63" spans="1:8" x14ac:dyDescent="0.2">
      <c r="A63" s="2" t="s">
        <v>87</v>
      </c>
      <c r="B63" s="4">
        <v>68</v>
      </c>
      <c r="C63" s="5">
        <v>3.7</v>
      </c>
      <c r="D63" s="4">
        <v>47</v>
      </c>
      <c r="E63" s="5">
        <v>5.2</v>
      </c>
      <c r="F63" s="4">
        <v>18</v>
      </c>
      <c r="G63" s="5">
        <v>1.97</v>
      </c>
      <c r="H63" s="4">
        <v>3</v>
      </c>
    </row>
    <row r="64" spans="1:8" x14ac:dyDescent="0.2">
      <c r="A64" s="2" t="s">
        <v>88</v>
      </c>
      <c r="B64" s="4">
        <v>92</v>
      </c>
      <c r="C64" s="5">
        <v>5</v>
      </c>
      <c r="D64" s="4">
        <v>61</v>
      </c>
      <c r="E64" s="5">
        <v>6.75</v>
      </c>
      <c r="F64" s="4">
        <v>29</v>
      </c>
      <c r="G64" s="5">
        <v>3.17</v>
      </c>
      <c r="H64" s="4">
        <v>0</v>
      </c>
    </row>
    <row r="65" spans="1:8" x14ac:dyDescent="0.2">
      <c r="A65" s="2" t="s">
        <v>89</v>
      </c>
      <c r="B65" s="4">
        <v>63</v>
      </c>
      <c r="C65" s="5">
        <v>3.43</v>
      </c>
      <c r="D65" s="4">
        <v>14</v>
      </c>
      <c r="E65" s="5">
        <v>1.55</v>
      </c>
      <c r="F65" s="4">
        <v>38</v>
      </c>
      <c r="G65" s="5">
        <v>4.1500000000000004</v>
      </c>
      <c r="H65" s="4">
        <v>0</v>
      </c>
    </row>
    <row r="66" spans="1:8" x14ac:dyDescent="0.2">
      <c r="A66" s="1" t="s">
        <v>4</v>
      </c>
      <c r="B66" s="4">
        <v>1518</v>
      </c>
      <c r="C66" s="5">
        <v>100</v>
      </c>
      <c r="D66" s="4">
        <v>838</v>
      </c>
      <c r="E66" s="5">
        <v>100.01</v>
      </c>
      <c r="F66" s="4">
        <v>665</v>
      </c>
      <c r="G66" s="5">
        <v>99.98</v>
      </c>
      <c r="H66" s="4">
        <v>1</v>
      </c>
    </row>
    <row r="67" spans="1:8" x14ac:dyDescent="0.2">
      <c r="A67" s="2" t="s">
        <v>75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2">
      <c r="A68" s="2" t="s">
        <v>76</v>
      </c>
      <c r="B68" s="4">
        <v>180</v>
      </c>
      <c r="C68" s="5">
        <v>11.86</v>
      </c>
      <c r="D68" s="4">
        <v>45</v>
      </c>
      <c r="E68" s="5">
        <v>5.37</v>
      </c>
      <c r="F68" s="4">
        <v>135</v>
      </c>
      <c r="G68" s="5">
        <v>20.3</v>
      </c>
      <c r="H68" s="4">
        <v>0</v>
      </c>
    </row>
    <row r="69" spans="1:8" x14ac:dyDescent="0.2">
      <c r="A69" s="2" t="s">
        <v>77</v>
      </c>
      <c r="B69" s="4">
        <v>78</v>
      </c>
      <c r="C69" s="5">
        <v>5.14</v>
      </c>
      <c r="D69" s="4">
        <v>24</v>
      </c>
      <c r="E69" s="5">
        <v>2.86</v>
      </c>
      <c r="F69" s="4">
        <v>54</v>
      </c>
      <c r="G69" s="5">
        <v>8.1199999999999992</v>
      </c>
      <c r="H69" s="4">
        <v>0</v>
      </c>
    </row>
    <row r="70" spans="1:8" x14ac:dyDescent="0.2">
      <c r="A70" s="2" t="s">
        <v>78</v>
      </c>
      <c r="B70" s="4">
        <v>3</v>
      </c>
      <c r="C70" s="5">
        <v>0.2</v>
      </c>
      <c r="D70" s="4">
        <v>0</v>
      </c>
      <c r="E70" s="5">
        <v>0</v>
      </c>
      <c r="F70" s="4">
        <v>3</v>
      </c>
      <c r="G70" s="5">
        <v>0.45</v>
      </c>
      <c r="H70" s="4">
        <v>0</v>
      </c>
    </row>
    <row r="71" spans="1:8" x14ac:dyDescent="0.2">
      <c r="A71" s="2" t="s">
        <v>79</v>
      </c>
      <c r="B71" s="4">
        <v>14</v>
      </c>
      <c r="C71" s="5">
        <v>0.92</v>
      </c>
      <c r="D71" s="4">
        <v>0</v>
      </c>
      <c r="E71" s="5">
        <v>0</v>
      </c>
      <c r="F71" s="4">
        <v>14</v>
      </c>
      <c r="G71" s="5">
        <v>2.11</v>
      </c>
      <c r="H71" s="4">
        <v>0</v>
      </c>
    </row>
    <row r="72" spans="1:8" x14ac:dyDescent="0.2">
      <c r="A72" s="2" t="s">
        <v>80</v>
      </c>
      <c r="B72" s="4">
        <v>13</v>
      </c>
      <c r="C72" s="5">
        <v>0.86</v>
      </c>
      <c r="D72" s="4">
        <v>1</v>
      </c>
      <c r="E72" s="5">
        <v>0.12</v>
      </c>
      <c r="F72" s="4">
        <v>12</v>
      </c>
      <c r="G72" s="5">
        <v>1.8</v>
      </c>
      <c r="H72" s="4">
        <v>0</v>
      </c>
    </row>
    <row r="73" spans="1:8" x14ac:dyDescent="0.2">
      <c r="A73" s="2" t="s">
        <v>81</v>
      </c>
      <c r="B73" s="4">
        <v>390</v>
      </c>
      <c r="C73" s="5">
        <v>25.69</v>
      </c>
      <c r="D73" s="4">
        <v>202</v>
      </c>
      <c r="E73" s="5">
        <v>24.11</v>
      </c>
      <c r="F73" s="4">
        <v>188</v>
      </c>
      <c r="G73" s="5">
        <v>28.27</v>
      </c>
      <c r="H73" s="4">
        <v>0</v>
      </c>
    </row>
    <row r="74" spans="1:8" x14ac:dyDescent="0.2">
      <c r="A74" s="2" t="s">
        <v>82</v>
      </c>
      <c r="B74" s="4">
        <v>13</v>
      </c>
      <c r="C74" s="5">
        <v>0.86</v>
      </c>
      <c r="D74" s="4">
        <v>2</v>
      </c>
      <c r="E74" s="5">
        <v>0.24</v>
      </c>
      <c r="F74" s="4">
        <v>11</v>
      </c>
      <c r="G74" s="5">
        <v>1.65</v>
      </c>
      <c r="H74" s="4">
        <v>0</v>
      </c>
    </row>
    <row r="75" spans="1:8" x14ac:dyDescent="0.2">
      <c r="A75" s="2" t="s">
        <v>83</v>
      </c>
      <c r="B75" s="4">
        <v>242</v>
      </c>
      <c r="C75" s="5">
        <v>15.94</v>
      </c>
      <c r="D75" s="4">
        <v>154</v>
      </c>
      <c r="E75" s="5">
        <v>18.38</v>
      </c>
      <c r="F75" s="4">
        <v>88</v>
      </c>
      <c r="G75" s="5">
        <v>13.23</v>
      </c>
      <c r="H75" s="4">
        <v>0</v>
      </c>
    </row>
    <row r="76" spans="1:8" x14ac:dyDescent="0.2">
      <c r="A76" s="2" t="s">
        <v>84</v>
      </c>
      <c r="B76" s="4">
        <v>53</v>
      </c>
      <c r="C76" s="5">
        <v>3.49</v>
      </c>
      <c r="D76" s="4">
        <v>28</v>
      </c>
      <c r="E76" s="5">
        <v>3.34</v>
      </c>
      <c r="F76" s="4">
        <v>25</v>
      </c>
      <c r="G76" s="5">
        <v>3.76</v>
      </c>
      <c r="H76" s="4">
        <v>0</v>
      </c>
    </row>
    <row r="77" spans="1:8" x14ac:dyDescent="0.2">
      <c r="A77" s="2" t="s">
        <v>85</v>
      </c>
      <c r="B77" s="4">
        <v>181</v>
      </c>
      <c r="C77" s="5">
        <v>11.92</v>
      </c>
      <c r="D77" s="4">
        <v>149</v>
      </c>
      <c r="E77" s="5">
        <v>17.78</v>
      </c>
      <c r="F77" s="4">
        <v>32</v>
      </c>
      <c r="G77" s="5">
        <v>4.8099999999999996</v>
      </c>
      <c r="H77" s="4">
        <v>0</v>
      </c>
    </row>
    <row r="78" spans="1:8" x14ac:dyDescent="0.2">
      <c r="A78" s="2" t="s">
        <v>86</v>
      </c>
      <c r="B78" s="4">
        <v>162</v>
      </c>
      <c r="C78" s="5">
        <v>10.67</v>
      </c>
      <c r="D78" s="4">
        <v>131</v>
      </c>
      <c r="E78" s="5">
        <v>15.63</v>
      </c>
      <c r="F78" s="4">
        <v>31</v>
      </c>
      <c r="G78" s="5">
        <v>4.66</v>
      </c>
      <c r="H78" s="4">
        <v>0</v>
      </c>
    </row>
    <row r="79" spans="1:8" x14ac:dyDescent="0.2">
      <c r="A79" s="2" t="s">
        <v>87</v>
      </c>
      <c r="B79" s="4">
        <v>44</v>
      </c>
      <c r="C79" s="5">
        <v>2.9</v>
      </c>
      <c r="D79" s="4">
        <v>34</v>
      </c>
      <c r="E79" s="5">
        <v>4.0599999999999996</v>
      </c>
      <c r="F79" s="4">
        <v>10</v>
      </c>
      <c r="G79" s="5">
        <v>1.5</v>
      </c>
      <c r="H79" s="4">
        <v>0</v>
      </c>
    </row>
    <row r="80" spans="1:8" x14ac:dyDescent="0.2">
      <c r="A80" s="2" t="s">
        <v>88</v>
      </c>
      <c r="B80" s="4">
        <v>80</v>
      </c>
      <c r="C80" s="5">
        <v>5.27</v>
      </c>
      <c r="D80" s="4">
        <v>47</v>
      </c>
      <c r="E80" s="5">
        <v>5.61</v>
      </c>
      <c r="F80" s="4">
        <v>32</v>
      </c>
      <c r="G80" s="5">
        <v>4.8099999999999996</v>
      </c>
      <c r="H80" s="4">
        <v>0</v>
      </c>
    </row>
    <row r="81" spans="1:8" x14ac:dyDescent="0.2">
      <c r="A81" s="2" t="s">
        <v>89</v>
      </c>
      <c r="B81" s="4">
        <v>65</v>
      </c>
      <c r="C81" s="5">
        <v>4.28</v>
      </c>
      <c r="D81" s="4">
        <v>21</v>
      </c>
      <c r="E81" s="5">
        <v>2.5099999999999998</v>
      </c>
      <c r="F81" s="4">
        <v>30</v>
      </c>
      <c r="G81" s="5">
        <v>4.51</v>
      </c>
      <c r="H81" s="4">
        <v>1</v>
      </c>
    </row>
    <row r="82" spans="1:8" x14ac:dyDescent="0.2">
      <c r="A82" s="1" t="s">
        <v>5</v>
      </c>
      <c r="B82" s="4">
        <v>6166</v>
      </c>
      <c r="C82" s="5">
        <v>100.00999999999999</v>
      </c>
      <c r="D82" s="4">
        <v>2831</v>
      </c>
      <c r="E82" s="5">
        <v>100</v>
      </c>
      <c r="F82" s="4">
        <v>3296</v>
      </c>
      <c r="G82" s="5">
        <v>99.999999999999986</v>
      </c>
      <c r="H82" s="4">
        <v>13</v>
      </c>
    </row>
    <row r="83" spans="1:8" x14ac:dyDescent="0.2">
      <c r="A83" s="2" t="s">
        <v>75</v>
      </c>
      <c r="B83" s="4">
        <v>1</v>
      </c>
      <c r="C83" s="5">
        <v>0.02</v>
      </c>
      <c r="D83" s="4">
        <v>0</v>
      </c>
      <c r="E83" s="5">
        <v>0</v>
      </c>
      <c r="F83" s="4">
        <v>1</v>
      </c>
      <c r="G83" s="5">
        <v>0.03</v>
      </c>
      <c r="H83" s="4">
        <v>0</v>
      </c>
    </row>
    <row r="84" spans="1:8" x14ac:dyDescent="0.2">
      <c r="A84" s="2" t="s">
        <v>76</v>
      </c>
      <c r="B84" s="4">
        <v>569</v>
      </c>
      <c r="C84" s="5">
        <v>9.23</v>
      </c>
      <c r="D84" s="4">
        <v>68</v>
      </c>
      <c r="E84" s="5">
        <v>2.4</v>
      </c>
      <c r="F84" s="4">
        <v>501</v>
      </c>
      <c r="G84" s="5">
        <v>15.2</v>
      </c>
      <c r="H84" s="4">
        <v>0</v>
      </c>
    </row>
    <row r="85" spans="1:8" x14ac:dyDescent="0.2">
      <c r="A85" s="2" t="s">
        <v>77</v>
      </c>
      <c r="B85" s="4">
        <v>239</v>
      </c>
      <c r="C85" s="5">
        <v>3.88</v>
      </c>
      <c r="D85" s="4">
        <v>61</v>
      </c>
      <c r="E85" s="5">
        <v>2.15</v>
      </c>
      <c r="F85" s="4">
        <v>178</v>
      </c>
      <c r="G85" s="5">
        <v>5.4</v>
      </c>
      <c r="H85" s="4">
        <v>0</v>
      </c>
    </row>
    <row r="86" spans="1:8" x14ac:dyDescent="0.2">
      <c r="A86" s="2" t="s">
        <v>78</v>
      </c>
      <c r="B86" s="4">
        <v>6</v>
      </c>
      <c r="C86" s="5">
        <v>0.1</v>
      </c>
      <c r="D86" s="4">
        <v>0</v>
      </c>
      <c r="E86" s="5">
        <v>0</v>
      </c>
      <c r="F86" s="4">
        <v>6</v>
      </c>
      <c r="G86" s="5">
        <v>0.18</v>
      </c>
      <c r="H86" s="4">
        <v>0</v>
      </c>
    </row>
    <row r="87" spans="1:8" x14ac:dyDescent="0.2">
      <c r="A87" s="2" t="s">
        <v>79</v>
      </c>
      <c r="B87" s="4">
        <v>66</v>
      </c>
      <c r="C87" s="5">
        <v>1.07</v>
      </c>
      <c r="D87" s="4">
        <v>8</v>
      </c>
      <c r="E87" s="5">
        <v>0.28000000000000003</v>
      </c>
      <c r="F87" s="4">
        <v>58</v>
      </c>
      <c r="G87" s="5">
        <v>1.76</v>
      </c>
      <c r="H87" s="4">
        <v>0</v>
      </c>
    </row>
    <row r="88" spans="1:8" x14ac:dyDescent="0.2">
      <c r="A88" s="2" t="s">
        <v>80</v>
      </c>
      <c r="B88" s="4">
        <v>72</v>
      </c>
      <c r="C88" s="5">
        <v>1.17</v>
      </c>
      <c r="D88" s="4">
        <v>14</v>
      </c>
      <c r="E88" s="5">
        <v>0.49</v>
      </c>
      <c r="F88" s="4">
        <v>56</v>
      </c>
      <c r="G88" s="5">
        <v>1.7</v>
      </c>
      <c r="H88" s="4">
        <v>0</v>
      </c>
    </row>
    <row r="89" spans="1:8" x14ac:dyDescent="0.2">
      <c r="A89" s="2" t="s">
        <v>81</v>
      </c>
      <c r="B89" s="4">
        <v>1628</v>
      </c>
      <c r="C89" s="5">
        <v>26.4</v>
      </c>
      <c r="D89" s="4">
        <v>606</v>
      </c>
      <c r="E89" s="5">
        <v>21.41</v>
      </c>
      <c r="F89" s="4">
        <v>1018</v>
      </c>
      <c r="G89" s="5">
        <v>30.89</v>
      </c>
      <c r="H89" s="4">
        <v>4</v>
      </c>
    </row>
    <row r="90" spans="1:8" x14ac:dyDescent="0.2">
      <c r="A90" s="2" t="s">
        <v>82</v>
      </c>
      <c r="B90" s="4">
        <v>89</v>
      </c>
      <c r="C90" s="5">
        <v>1.44</v>
      </c>
      <c r="D90" s="4">
        <v>5</v>
      </c>
      <c r="E90" s="5">
        <v>0.18</v>
      </c>
      <c r="F90" s="4">
        <v>84</v>
      </c>
      <c r="G90" s="5">
        <v>2.5499999999999998</v>
      </c>
      <c r="H90" s="4">
        <v>0</v>
      </c>
    </row>
    <row r="91" spans="1:8" x14ac:dyDescent="0.2">
      <c r="A91" s="2" t="s">
        <v>83</v>
      </c>
      <c r="B91" s="4">
        <v>738</v>
      </c>
      <c r="C91" s="5">
        <v>11.97</v>
      </c>
      <c r="D91" s="4">
        <v>255</v>
      </c>
      <c r="E91" s="5">
        <v>9.01</v>
      </c>
      <c r="F91" s="4">
        <v>482</v>
      </c>
      <c r="G91" s="5">
        <v>14.62</v>
      </c>
      <c r="H91" s="4">
        <v>1</v>
      </c>
    </row>
    <row r="92" spans="1:8" x14ac:dyDescent="0.2">
      <c r="A92" s="2" t="s">
        <v>84</v>
      </c>
      <c r="B92" s="4">
        <v>383</v>
      </c>
      <c r="C92" s="5">
        <v>6.21</v>
      </c>
      <c r="D92" s="4">
        <v>182</v>
      </c>
      <c r="E92" s="5">
        <v>6.43</v>
      </c>
      <c r="F92" s="4">
        <v>201</v>
      </c>
      <c r="G92" s="5">
        <v>6.1</v>
      </c>
      <c r="H92" s="4">
        <v>0</v>
      </c>
    </row>
    <row r="93" spans="1:8" x14ac:dyDescent="0.2">
      <c r="A93" s="2" t="s">
        <v>85</v>
      </c>
      <c r="B93" s="4">
        <v>1013</v>
      </c>
      <c r="C93" s="5">
        <v>16.43</v>
      </c>
      <c r="D93" s="4">
        <v>837</v>
      </c>
      <c r="E93" s="5">
        <v>29.57</v>
      </c>
      <c r="F93" s="4">
        <v>176</v>
      </c>
      <c r="G93" s="5">
        <v>5.34</v>
      </c>
      <c r="H93" s="4">
        <v>0</v>
      </c>
    </row>
    <row r="94" spans="1:8" x14ac:dyDescent="0.2">
      <c r="A94" s="2" t="s">
        <v>86</v>
      </c>
      <c r="B94" s="4">
        <v>699</v>
      </c>
      <c r="C94" s="5">
        <v>11.34</v>
      </c>
      <c r="D94" s="4">
        <v>486</v>
      </c>
      <c r="E94" s="5">
        <v>17.170000000000002</v>
      </c>
      <c r="F94" s="4">
        <v>212</v>
      </c>
      <c r="G94" s="5">
        <v>6.43</v>
      </c>
      <c r="H94" s="4">
        <v>1</v>
      </c>
    </row>
    <row r="95" spans="1:8" x14ac:dyDescent="0.2">
      <c r="A95" s="2" t="s">
        <v>87</v>
      </c>
      <c r="B95" s="4">
        <v>148</v>
      </c>
      <c r="C95" s="5">
        <v>2.4</v>
      </c>
      <c r="D95" s="4">
        <v>89</v>
      </c>
      <c r="E95" s="5">
        <v>3.14</v>
      </c>
      <c r="F95" s="4">
        <v>56</v>
      </c>
      <c r="G95" s="5">
        <v>1.7</v>
      </c>
      <c r="H95" s="4">
        <v>1</v>
      </c>
    </row>
    <row r="96" spans="1:8" x14ac:dyDescent="0.2">
      <c r="A96" s="2" t="s">
        <v>88</v>
      </c>
      <c r="B96" s="4">
        <v>267</v>
      </c>
      <c r="C96" s="5">
        <v>4.33</v>
      </c>
      <c r="D96" s="4">
        <v>180</v>
      </c>
      <c r="E96" s="5">
        <v>6.36</v>
      </c>
      <c r="F96" s="4">
        <v>87</v>
      </c>
      <c r="G96" s="5">
        <v>2.64</v>
      </c>
      <c r="H96" s="4">
        <v>0</v>
      </c>
    </row>
    <row r="97" spans="1:8" x14ac:dyDescent="0.2">
      <c r="A97" s="2" t="s">
        <v>89</v>
      </c>
      <c r="B97" s="4">
        <v>248</v>
      </c>
      <c r="C97" s="5">
        <v>4.0199999999999996</v>
      </c>
      <c r="D97" s="4">
        <v>40</v>
      </c>
      <c r="E97" s="5">
        <v>1.41</v>
      </c>
      <c r="F97" s="4">
        <v>180</v>
      </c>
      <c r="G97" s="5">
        <v>5.46</v>
      </c>
      <c r="H97" s="4">
        <v>6</v>
      </c>
    </row>
    <row r="98" spans="1:8" x14ac:dyDescent="0.2">
      <c r="A98" s="1" t="s">
        <v>6</v>
      </c>
      <c r="B98" s="4">
        <v>3614</v>
      </c>
      <c r="C98" s="5">
        <v>100.01</v>
      </c>
      <c r="D98" s="4">
        <v>1603</v>
      </c>
      <c r="E98" s="5">
        <v>99.99</v>
      </c>
      <c r="F98" s="4">
        <v>1977</v>
      </c>
      <c r="G98" s="5">
        <v>99.97</v>
      </c>
      <c r="H98" s="4">
        <v>6</v>
      </c>
    </row>
    <row r="99" spans="1:8" x14ac:dyDescent="0.2">
      <c r="A99" s="2" t="s">
        <v>75</v>
      </c>
      <c r="B99" s="4">
        <v>2</v>
      </c>
      <c r="C99" s="5">
        <v>0.06</v>
      </c>
      <c r="D99" s="4">
        <v>0</v>
      </c>
      <c r="E99" s="5">
        <v>0</v>
      </c>
      <c r="F99" s="4">
        <v>2</v>
      </c>
      <c r="G99" s="5">
        <v>0.1</v>
      </c>
      <c r="H99" s="4">
        <v>0</v>
      </c>
    </row>
    <row r="100" spans="1:8" x14ac:dyDescent="0.2">
      <c r="A100" s="2" t="s">
        <v>76</v>
      </c>
      <c r="B100" s="4">
        <v>739</v>
      </c>
      <c r="C100" s="5">
        <v>20.45</v>
      </c>
      <c r="D100" s="4">
        <v>148</v>
      </c>
      <c r="E100" s="5">
        <v>9.23</v>
      </c>
      <c r="F100" s="4">
        <v>591</v>
      </c>
      <c r="G100" s="5">
        <v>29.89</v>
      </c>
      <c r="H100" s="4">
        <v>0</v>
      </c>
    </row>
    <row r="101" spans="1:8" x14ac:dyDescent="0.2">
      <c r="A101" s="2" t="s">
        <v>77</v>
      </c>
      <c r="B101" s="4">
        <v>148</v>
      </c>
      <c r="C101" s="5">
        <v>4.0999999999999996</v>
      </c>
      <c r="D101" s="4">
        <v>37</v>
      </c>
      <c r="E101" s="5">
        <v>2.31</v>
      </c>
      <c r="F101" s="4">
        <v>111</v>
      </c>
      <c r="G101" s="5">
        <v>5.61</v>
      </c>
      <c r="H101" s="4">
        <v>0</v>
      </c>
    </row>
    <row r="102" spans="1:8" x14ac:dyDescent="0.2">
      <c r="A102" s="2" t="s">
        <v>78</v>
      </c>
      <c r="B102" s="4">
        <v>4</v>
      </c>
      <c r="C102" s="5">
        <v>0.11</v>
      </c>
      <c r="D102" s="4">
        <v>0</v>
      </c>
      <c r="E102" s="5">
        <v>0</v>
      </c>
      <c r="F102" s="4">
        <v>4</v>
      </c>
      <c r="G102" s="5">
        <v>0.2</v>
      </c>
      <c r="H102" s="4">
        <v>0</v>
      </c>
    </row>
    <row r="103" spans="1:8" x14ac:dyDescent="0.2">
      <c r="A103" s="2" t="s">
        <v>79</v>
      </c>
      <c r="B103" s="4">
        <v>21</v>
      </c>
      <c r="C103" s="5">
        <v>0.57999999999999996</v>
      </c>
      <c r="D103" s="4">
        <v>5</v>
      </c>
      <c r="E103" s="5">
        <v>0.31</v>
      </c>
      <c r="F103" s="4">
        <v>16</v>
      </c>
      <c r="G103" s="5">
        <v>0.81</v>
      </c>
      <c r="H103" s="4">
        <v>0</v>
      </c>
    </row>
    <row r="104" spans="1:8" x14ac:dyDescent="0.2">
      <c r="A104" s="2" t="s">
        <v>80</v>
      </c>
      <c r="B104" s="4">
        <v>56</v>
      </c>
      <c r="C104" s="5">
        <v>1.55</v>
      </c>
      <c r="D104" s="4">
        <v>31</v>
      </c>
      <c r="E104" s="5">
        <v>1.93</v>
      </c>
      <c r="F104" s="4">
        <v>25</v>
      </c>
      <c r="G104" s="5">
        <v>1.26</v>
      </c>
      <c r="H104" s="4">
        <v>0</v>
      </c>
    </row>
    <row r="105" spans="1:8" x14ac:dyDescent="0.2">
      <c r="A105" s="2" t="s">
        <v>81</v>
      </c>
      <c r="B105" s="4">
        <v>831</v>
      </c>
      <c r="C105" s="5">
        <v>22.99</v>
      </c>
      <c r="D105" s="4">
        <v>323</v>
      </c>
      <c r="E105" s="5">
        <v>20.149999999999999</v>
      </c>
      <c r="F105" s="4">
        <v>507</v>
      </c>
      <c r="G105" s="5">
        <v>25.64</v>
      </c>
      <c r="H105" s="4">
        <v>1</v>
      </c>
    </row>
    <row r="106" spans="1:8" x14ac:dyDescent="0.2">
      <c r="A106" s="2" t="s">
        <v>82</v>
      </c>
      <c r="B106" s="4">
        <v>28</v>
      </c>
      <c r="C106" s="5">
        <v>0.77</v>
      </c>
      <c r="D106" s="4">
        <v>4</v>
      </c>
      <c r="E106" s="5">
        <v>0.25</v>
      </c>
      <c r="F106" s="4">
        <v>24</v>
      </c>
      <c r="G106" s="5">
        <v>1.21</v>
      </c>
      <c r="H106" s="4">
        <v>0</v>
      </c>
    </row>
    <row r="107" spans="1:8" x14ac:dyDescent="0.2">
      <c r="A107" s="2" t="s">
        <v>83</v>
      </c>
      <c r="B107" s="4">
        <v>406</v>
      </c>
      <c r="C107" s="5">
        <v>11.23</v>
      </c>
      <c r="D107" s="4">
        <v>178</v>
      </c>
      <c r="E107" s="5">
        <v>11.1</v>
      </c>
      <c r="F107" s="4">
        <v>228</v>
      </c>
      <c r="G107" s="5">
        <v>11.53</v>
      </c>
      <c r="H107" s="4">
        <v>0</v>
      </c>
    </row>
    <row r="108" spans="1:8" x14ac:dyDescent="0.2">
      <c r="A108" s="2" t="s">
        <v>84</v>
      </c>
      <c r="B108" s="4">
        <v>156</v>
      </c>
      <c r="C108" s="5">
        <v>4.32</v>
      </c>
      <c r="D108" s="4">
        <v>80</v>
      </c>
      <c r="E108" s="5">
        <v>4.99</v>
      </c>
      <c r="F108" s="4">
        <v>76</v>
      </c>
      <c r="G108" s="5">
        <v>3.84</v>
      </c>
      <c r="H108" s="4">
        <v>0</v>
      </c>
    </row>
    <row r="109" spans="1:8" x14ac:dyDescent="0.2">
      <c r="A109" s="2" t="s">
        <v>85</v>
      </c>
      <c r="B109" s="4">
        <v>251</v>
      </c>
      <c r="C109" s="5">
        <v>6.95</v>
      </c>
      <c r="D109" s="4">
        <v>190</v>
      </c>
      <c r="E109" s="5">
        <v>11.85</v>
      </c>
      <c r="F109" s="4">
        <v>61</v>
      </c>
      <c r="G109" s="5">
        <v>3.09</v>
      </c>
      <c r="H109" s="4">
        <v>0</v>
      </c>
    </row>
    <row r="110" spans="1:8" x14ac:dyDescent="0.2">
      <c r="A110" s="2" t="s">
        <v>86</v>
      </c>
      <c r="B110" s="4">
        <v>451</v>
      </c>
      <c r="C110" s="5">
        <v>12.48</v>
      </c>
      <c r="D110" s="4">
        <v>329</v>
      </c>
      <c r="E110" s="5">
        <v>20.52</v>
      </c>
      <c r="F110" s="4">
        <v>122</v>
      </c>
      <c r="G110" s="5">
        <v>6.17</v>
      </c>
      <c r="H110" s="4">
        <v>0</v>
      </c>
    </row>
    <row r="111" spans="1:8" x14ac:dyDescent="0.2">
      <c r="A111" s="2" t="s">
        <v>87</v>
      </c>
      <c r="B111" s="4">
        <v>139</v>
      </c>
      <c r="C111" s="5">
        <v>3.85</v>
      </c>
      <c r="D111" s="4">
        <v>95</v>
      </c>
      <c r="E111" s="5">
        <v>5.93</v>
      </c>
      <c r="F111" s="4">
        <v>41</v>
      </c>
      <c r="G111" s="5">
        <v>2.0699999999999998</v>
      </c>
      <c r="H111" s="4">
        <v>3</v>
      </c>
    </row>
    <row r="112" spans="1:8" x14ac:dyDescent="0.2">
      <c r="A112" s="2" t="s">
        <v>88</v>
      </c>
      <c r="B112" s="4">
        <v>221</v>
      </c>
      <c r="C112" s="5">
        <v>6.12</v>
      </c>
      <c r="D112" s="4">
        <v>130</v>
      </c>
      <c r="E112" s="5">
        <v>8.11</v>
      </c>
      <c r="F112" s="4">
        <v>88</v>
      </c>
      <c r="G112" s="5">
        <v>4.45</v>
      </c>
      <c r="H112" s="4">
        <v>1</v>
      </c>
    </row>
    <row r="113" spans="1:8" x14ac:dyDescent="0.2">
      <c r="A113" s="2" t="s">
        <v>89</v>
      </c>
      <c r="B113" s="4">
        <v>161</v>
      </c>
      <c r="C113" s="5">
        <v>4.45</v>
      </c>
      <c r="D113" s="4">
        <v>53</v>
      </c>
      <c r="E113" s="5">
        <v>3.31</v>
      </c>
      <c r="F113" s="4">
        <v>81</v>
      </c>
      <c r="G113" s="5">
        <v>4.0999999999999996</v>
      </c>
      <c r="H113" s="4">
        <v>1</v>
      </c>
    </row>
    <row r="114" spans="1:8" x14ac:dyDescent="0.2">
      <c r="A114" s="1" t="s">
        <v>7</v>
      </c>
      <c r="B114" s="4">
        <v>1695</v>
      </c>
      <c r="C114" s="5">
        <v>100.01000000000002</v>
      </c>
      <c r="D114" s="4">
        <v>947</v>
      </c>
      <c r="E114" s="5">
        <v>99.97999999999999</v>
      </c>
      <c r="F114" s="4">
        <v>731</v>
      </c>
      <c r="G114" s="5">
        <v>100.01000000000002</v>
      </c>
      <c r="H114" s="4">
        <v>1</v>
      </c>
    </row>
    <row r="115" spans="1:8" x14ac:dyDescent="0.2">
      <c r="A115" s="2" t="s">
        <v>75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2">
      <c r="A116" s="2" t="s">
        <v>76</v>
      </c>
      <c r="B116" s="4">
        <v>220</v>
      </c>
      <c r="C116" s="5">
        <v>12.98</v>
      </c>
      <c r="D116" s="4">
        <v>45</v>
      </c>
      <c r="E116" s="5">
        <v>4.75</v>
      </c>
      <c r="F116" s="4">
        <v>175</v>
      </c>
      <c r="G116" s="5">
        <v>23.94</v>
      </c>
      <c r="H116" s="4">
        <v>0</v>
      </c>
    </row>
    <row r="117" spans="1:8" x14ac:dyDescent="0.2">
      <c r="A117" s="2" t="s">
        <v>77</v>
      </c>
      <c r="B117" s="4">
        <v>81</v>
      </c>
      <c r="C117" s="5">
        <v>4.78</v>
      </c>
      <c r="D117" s="4">
        <v>29</v>
      </c>
      <c r="E117" s="5">
        <v>3.06</v>
      </c>
      <c r="F117" s="4">
        <v>52</v>
      </c>
      <c r="G117" s="5">
        <v>7.11</v>
      </c>
      <c r="H117" s="4">
        <v>0</v>
      </c>
    </row>
    <row r="118" spans="1:8" x14ac:dyDescent="0.2">
      <c r="A118" s="2" t="s">
        <v>78</v>
      </c>
      <c r="B118" s="4">
        <v>1</v>
      </c>
      <c r="C118" s="5">
        <v>0.06</v>
      </c>
      <c r="D118" s="4">
        <v>0</v>
      </c>
      <c r="E118" s="5">
        <v>0</v>
      </c>
      <c r="F118" s="4">
        <v>1</v>
      </c>
      <c r="G118" s="5">
        <v>0.14000000000000001</v>
      </c>
      <c r="H118" s="4">
        <v>0</v>
      </c>
    </row>
    <row r="119" spans="1:8" x14ac:dyDescent="0.2">
      <c r="A119" s="2" t="s">
        <v>79</v>
      </c>
      <c r="B119" s="4">
        <v>9</v>
      </c>
      <c r="C119" s="5">
        <v>0.53</v>
      </c>
      <c r="D119" s="4">
        <v>0</v>
      </c>
      <c r="E119" s="5">
        <v>0</v>
      </c>
      <c r="F119" s="4">
        <v>9</v>
      </c>
      <c r="G119" s="5">
        <v>1.23</v>
      </c>
      <c r="H119" s="4">
        <v>0</v>
      </c>
    </row>
    <row r="120" spans="1:8" x14ac:dyDescent="0.2">
      <c r="A120" s="2" t="s">
        <v>80</v>
      </c>
      <c r="B120" s="4">
        <v>13</v>
      </c>
      <c r="C120" s="5">
        <v>0.77</v>
      </c>
      <c r="D120" s="4">
        <v>4</v>
      </c>
      <c r="E120" s="5">
        <v>0.42</v>
      </c>
      <c r="F120" s="4">
        <v>9</v>
      </c>
      <c r="G120" s="5">
        <v>1.23</v>
      </c>
      <c r="H120" s="4">
        <v>0</v>
      </c>
    </row>
    <row r="121" spans="1:8" x14ac:dyDescent="0.2">
      <c r="A121" s="2" t="s">
        <v>81</v>
      </c>
      <c r="B121" s="4">
        <v>422</v>
      </c>
      <c r="C121" s="5">
        <v>24.9</v>
      </c>
      <c r="D121" s="4">
        <v>231</v>
      </c>
      <c r="E121" s="5">
        <v>24.39</v>
      </c>
      <c r="F121" s="4">
        <v>191</v>
      </c>
      <c r="G121" s="5">
        <v>26.13</v>
      </c>
      <c r="H121" s="4">
        <v>0</v>
      </c>
    </row>
    <row r="122" spans="1:8" x14ac:dyDescent="0.2">
      <c r="A122" s="2" t="s">
        <v>82</v>
      </c>
      <c r="B122" s="4">
        <v>14</v>
      </c>
      <c r="C122" s="5">
        <v>0.83</v>
      </c>
      <c r="D122" s="4">
        <v>2</v>
      </c>
      <c r="E122" s="5">
        <v>0.21</v>
      </c>
      <c r="F122" s="4">
        <v>12</v>
      </c>
      <c r="G122" s="5">
        <v>1.64</v>
      </c>
      <c r="H122" s="4">
        <v>0</v>
      </c>
    </row>
    <row r="123" spans="1:8" x14ac:dyDescent="0.2">
      <c r="A123" s="2" t="s">
        <v>83</v>
      </c>
      <c r="B123" s="4">
        <v>231</v>
      </c>
      <c r="C123" s="5">
        <v>13.63</v>
      </c>
      <c r="D123" s="4">
        <v>132</v>
      </c>
      <c r="E123" s="5">
        <v>13.94</v>
      </c>
      <c r="F123" s="4">
        <v>98</v>
      </c>
      <c r="G123" s="5">
        <v>13.41</v>
      </c>
      <c r="H123" s="4">
        <v>1</v>
      </c>
    </row>
    <row r="124" spans="1:8" x14ac:dyDescent="0.2">
      <c r="A124" s="2" t="s">
        <v>84</v>
      </c>
      <c r="B124" s="4">
        <v>84</v>
      </c>
      <c r="C124" s="5">
        <v>4.96</v>
      </c>
      <c r="D124" s="4">
        <v>36</v>
      </c>
      <c r="E124" s="5">
        <v>3.8</v>
      </c>
      <c r="F124" s="4">
        <v>48</v>
      </c>
      <c r="G124" s="5">
        <v>6.57</v>
      </c>
      <c r="H124" s="4">
        <v>0</v>
      </c>
    </row>
    <row r="125" spans="1:8" x14ac:dyDescent="0.2">
      <c r="A125" s="2" t="s">
        <v>85</v>
      </c>
      <c r="B125" s="4">
        <v>206</v>
      </c>
      <c r="C125" s="5">
        <v>12.15</v>
      </c>
      <c r="D125" s="4">
        <v>183</v>
      </c>
      <c r="E125" s="5">
        <v>19.32</v>
      </c>
      <c r="F125" s="4">
        <v>23</v>
      </c>
      <c r="G125" s="5">
        <v>3.15</v>
      </c>
      <c r="H125" s="4">
        <v>0</v>
      </c>
    </row>
    <row r="126" spans="1:8" x14ac:dyDescent="0.2">
      <c r="A126" s="2" t="s">
        <v>86</v>
      </c>
      <c r="B126" s="4">
        <v>195</v>
      </c>
      <c r="C126" s="5">
        <v>11.5</v>
      </c>
      <c r="D126" s="4">
        <v>161</v>
      </c>
      <c r="E126" s="5">
        <v>17</v>
      </c>
      <c r="F126" s="4">
        <v>34</v>
      </c>
      <c r="G126" s="5">
        <v>4.6500000000000004</v>
      </c>
      <c r="H126" s="4">
        <v>0</v>
      </c>
    </row>
    <row r="127" spans="1:8" x14ac:dyDescent="0.2">
      <c r="A127" s="2" t="s">
        <v>87</v>
      </c>
      <c r="B127" s="4">
        <v>59</v>
      </c>
      <c r="C127" s="5">
        <v>3.48</v>
      </c>
      <c r="D127" s="4">
        <v>50</v>
      </c>
      <c r="E127" s="5">
        <v>5.28</v>
      </c>
      <c r="F127" s="4">
        <v>9</v>
      </c>
      <c r="G127" s="5">
        <v>1.23</v>
      </c>
      <c r="H127" s="4">
        <v>0</v>
      </c>
    </row>
    <row r="128" spans="1:8" x14ac:dyDescent="0.2">
      <c r="A128" s="2" t="s">
        <v>88</v>
      </c>
      <c r="B128" s="4">
        <v>91</v>
      </c>
      <c r="C128" s="5">
        <v>5.37</v>
      </c>
      <c r="D128" s="4">
        <v>52</v>
      </c>
      <c r="E128" s="5">
        <v>5.49</v>
      </c>
      <c r="F128" s="4">
        <v>38</v>
      </c>
      <c r="G128" s="5">
        <v>5.2</v>
      </c>
      <c r="H128" s="4">
        <v>0</v>
      </c>
    </row>
    <row r="129" spans="1:8" x14ac:dyDescent="0.2">
      <c r="A129" s="2" t="s">
        <v>89</v>
      </c>
      <c r="B129" s="4">
        <v>69</v>
      </c>
      <c r="C129" s="5">
        <v>4.07</v>
      </c>
      <c r="D129" s="4">
        <v>22</v>
      </c>
      <c r="E129" s="5">
        <v>2.3199999999999998</v>
      </c>
      <c r="F129" s="4">
        <v>32</v>
      </c>
      <c r="G129" s="5">
        <v>4.38</v>
      </c>
      <c r="H129" s="4">
        <v>0</v>
      </c>
    </row>
    <row r="130" spans="1:8" x14ac:dyDescent="0.2">
      <c r="A130" s="1" t="s">
        <v>8</v>
      </c>
      <c r="B130" s="4">
        <v>5377</v>
      </c>
      <c r="C130" s="5">
        <v>100</v>
      </c>
      <c r="D130" s="4">
        <v>2766</v>
      </c>
      <c r="E130" s="5">
        <v>100.00999999999999</v>
      </c>
      <c r="F130" s="4">
        <v>2563</v>
      </c>
      <c r="G130" s="5">
        <v>100.01000000000002</v>
      </c>
      <c r="H130" s="4">
        <v>6</v>
      </c>
    </row>
    <row r="131" spans="1:8" x14ac:dyDescent="0.2">
      <c r="A131" s="2" t="s">
        <v>75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2">
      <c r="A132" s="2" t="s">
        <v>76</v>
      </c>
      <c r="B132" s="4">
        <v>853</v>
      </c>
      <c r="C132" s="5">
        <v>15.86</v>
      </c>
      <c r="D132" s="4">
        <v>178</v>
      </c>
      <c r="E132" s="5">
        <v>6.44</v>
      </c>
      <c r="F132" s="4">
        <v>675</v>
      </c>
      <c r="G132" s="5">
        <v>26.34</v>
      </c>
      <c r="H132" s="4">
        <v>0</v>
      </c>
    </row>
    <row r="133" spans="1:8" x14ac:dyDescent="0.2">
      <c r="A133" s="2" t="s">
        <v>77</v>
      </c>
      <c r="B133" s="4">
        <v>281</v>
      </c>
      <c r="C133" s="5">
        <v>5.23</v>
      </c>
      <c r="D133" s="4">
        <v>93</v>
      </c>
      <c r="E133" s="5">
        <v>3.36</v>
      </c>
      <c r="F133" s="4">
        <v>188</v>
      </c>
      <c r="G133" s="5">
        <v>7.34</v>
      </c>
      <c r="H133" s="4">
        <v>0</v>
      </c>
    </row>
    <row r="134" spans="1:8" x14ac:dyDescent="0.2">
      <c r="A134" s="2" t="s">
        <v>78</v>
      </c>
      <c r="B134" s="4">
        <v>6</v>
      </c>
      <c r="C134" s="5">
        <v>0.11</v>
      </c>
      <c r="D134" s="4">
        <v>0</v>
      </c>
      <c r="E134" s="5">
        <v>0</v>
      </c>
      <c r="F134" s="4">
        <v>6</v>
      </c>
      <c r="G134" s="5">
        <v>0.23</v>
      </c>
      <c r="H134" s="4">
        <v>0</v>
      </c>
    </row>
    <row r="135" spans="1:8" x14ac:dyDescent="0.2">
      <c r="A135" s="2" t="s">
        <v>79</v>
      </c>
      <c r="B135" s="4">
        <v>47</v>
      </c>
      <c r="C135" s="5">
        <v>0.87</v>
      </c>
      <c r="D135" s="4">
        <v>4</v>
      </c>
      <c r="E135" s="5">
        <v>0.14000000000000001</v>
      </c>
      <c r="F135" s="4">
        <v>43</v>
      </c>
      <c r="G135" s="5">
        <v>1.68</v>
      </c>
      <c r="H135" s="4">
        <v>0</v>
      </c>
    </row>
    <row r="136" spans="1:8" x14ac:dyDescent="0.2">
      <c r="A136" s="2" t="s">
        <v>80</v>
      </c>
      <c r="B136" s="4">
        <v>39</v>
      </c>
      <c r="C136" s="5">
        <v>0.73</v>
      </c>
      <c r="D136" s="4">
        <v>16</v>
      </c>
      <c r="E136" s="5">
        <v>0.57999999999999996</v>
      </c>
      <c r="F136" s="4">
        <v>23</v>
      </c>
      <c r="G136" s="5">
        <v>0.9</v>
      </c>
      <c r="H136" s="4">
        <v>0</v>
      </c>
    </row>
    <row r="137" spans="1:8" x14ac:dyDescent="0.2">
      <c r="A137" s="2" t="s">
        <v>81</v>
      </c>
      <c r="B137" s="4">
        <v>1181</v>
      </c>
      <c r="C137" s="5">
        <v>21.96</v>
      </c>
      <c r="D137" s="4">
        <v>604</v>
      </c>
      <c r="E137" s="5">
        <v>21.84</v>
      </c>
      <c r="F137" s="4">
        <v>577</v>
      </c>
      <c r="G137" s="5">
        <v>22.51</v>
      </c>
      <c r="H137" s="4">
        <v>0</v>
      </c>
    </row>
    <row r="138" spans="1:8" x14ac:dyDescent="0.2">
      <c r="A138" s="2" t="s">
        <v>82</v>
      </c>
      <c r="B138" s="4">
        <v>38</v>
      </c>
      <c r="C138" s="5">
        <v>0.71</v>
      </c>
      <c r="D138" s="4">
        <v>8</v>
      </c>
      <c r="E138" s="5">
        <v>0.28999999999999998</v>
      </c>
      <c r="F138" s="4">
        <v>30</v>
      </c>
      <c r="G138" s="5">
        <v>1.17</v>
      </c>
      <c r="H138" s="4">
        <v>0</v>
      </c>
    </row>
    <row r="139" spans="1:8" x14ac:dyDescent="0.2">
      <c r="A139" s="2" t="s">
        <v>83</v>
      </c>
      <c r="B139" s="4">
        <v>543</v>
      </c>
      <c r="C139" s="5">
        <v>10.1</v>
      </c>
      <c r="D139" s="4">
        <v>182</v>
      </c>
      <c r="E139" s="5">
        <v>6.58</v>
      </c>
      <c r="F139" s="4">
        <v>361</v>
      </c>
      <c r="G139" s="5">
        <v>14.09</v>
      </c>
      <c r="H139" s="4">
        <v>0</v>
      </c>
    </row>
    <row r="140" spans="1:8" x14ac:dyDescent="0.2">
      <c r="A140" s="2" t="s">
        <v>84</v>
      </c>
      <c r="B140" s="4">
        <v>290</v>
      </c>
      <c r="C140" s="5">
        <v>5.39</v>
      </c>
      <c r="D140" s="4">
        <v>144</v>
      </c>
      <c r="E140" s="5">
        <v>5.21</v>
      </c>
      <c r="F140" s="4">
        <v>144</v>
      </c>
      <c r="G140" s="5">
        <v>5.62</v>
      </c>
      <c r="H140" s="4">
        <v>1</v>
      </c>
    </row>
    <row r="141" spans="1:8" x14ac:dyDescent="0.2">
      <c r="A141" s="2" t="s">
        <v>85</v>
      </c>
      <c r="B141" s="4">
        <v>680</v>
      </c>
      <c r="C141" s="5">
        <v>12.65</v>
      </c>
      <c r="D141" s="4">
        <v>575</v>
      </c>
      <c r="E141" s="5">
        <v>20.79</v>
      </c>
      <c r="F141" s="4">
        <v>104</v>
      </c>
      <c r="G141" s="5">
        <v>4.0599999999999996</v>
      </c>
      <c r="H141" s="4">
        <v>0</v>
      </c>
    </row>
    <row r="142" spans="1:8" x14ac:dyDescent="0.2">
      <c r="A142" s="2" t="s">
        <v>86</v>
      </c>
      <c r="B142" s="4">
        <v>741</v>
      </c>
      <c r="C142" s="5">
        <v>13.78</v>
      </c>
      <c r="D142" s="4">
        <v>596</v>
      </c>
      <c r="E142" s="5">
        <v>21.55</v>
      </c>
      <c r="F142" s="4">
        <v>144</v>
      </c>
      <c r="G142" s="5">
        <v>5.62</v>
      </c>
      <c r="H142" s="4">
        <v>1</v>
      </c>
    </row>
    <row r="143" spans="1:8" x14ac:dyDescent="0.2">
      <c r="A143" s="2" t="s">
        <v>87</v>
      </c>
      <c r="B143" s="4">
        <v>153</v>
      </c>
      <c r="C143" s="5">
        <v>2.85</v>
      </c>
      <c r="D143" s="4">
        <v>111</v>
      </c>
      <c r="E143" s="5">
        <v>4.01</v>
      </c>
      <c r="F143" s="4">
        <v>38</v>
      </c>
      <c r="G143" s="5">
        <v>1.48</v>
      </c>
      <c r="H143" s="4">
        <v>2</v>
      </c>
    </row>
    <row r="144" spans="1:8" x14ac:dyDescent="0.2">
      <c r="A144" s="2" t="s">
        <v>88</v>
      </c>
      <c r="B144" s="4">
        <v>312</v>
      </c>
      <c r="C144" s="5">
        <v>5.8</v>
      </c>
      <c r="D144" s="4">
        <v>180</v>
      </c>
      <c r="E144" s="5">
        <v>6.51</v>
      </c>
      <c r="F144" s="4">
        <v>129</v>
      </c>
      <c r="G144" s="5">
        <v>5.03</v>
      </c>
      <c r="H144" s="4">
        <v>0</v>
      </c>
    </row>
    <row r="145" spans="1:8" x14ac:dyDescent="0.2">
      <c r="A145" s="2" t="s">
        <v>89</v>
      </c>
      <c r="B145" s="4">
        <v>213</v>
      </c>
      <c r="C145" s="5">
        <v>3.96</v>
      </c>
      <c r="D145" s="4">
        <v>75</v>
      </c>
      <c r="E145" s="5">
        <v>2.71</v>
      </c>
      <c r="F145" s="4">
        <v>101</v>
      </c>
      <c r="G145" s="5">
        <v>3.94</v>
      </c>
      <c r="H145" s="4">
        <v>2</v>
      </c>
    </row>
    <row r="146" spans="1:8" x14ac:dyDescent="0.2">
      <c r="A146" s="1" t="s">
        <v>9</v>
      </c>
      <c r="B146" s="4">
        <v>39235</v>
      </c>
      <c r="C146" s="5">
        <v>100</v>
      </c>
      <c r="D146" s="4">
        <v>14885</v>
      </c>
      <c r="E146" s="5">
        <v>100.00000000000001</v>
      </c>
      <c r="F146" s="4">
        <v>24040</v>
      </c>
      <c r="G146" s="5">
        <v>100.01</v>
      </c>
      <c r="H146" s="4">
        <v>49</v>
      </c>
    </row>
    <row r="147" spans="1:8" x14ac:dyDescent="0.2">
      <c r="A147" s="2" t="s">
        <v>75</v>
      </c>
      <c r="B147" s="4">
        <v>3</v>
      </c>
      <c r="C147" s="5">
        <v>0.01</v>
      </c>
      <c r="D147" s="4">
        <v>0</v>
      </c>
      <c r="E147" s="5">
        <v>0</v>
      </c>
      <c r="F147" s="4">
        <v>3</v>
      </c>
      <c r="G147" s="5">
        <v>0.01</v>
      </c>
      <c r="H147" s="4">
        <v>0</v>
      </c>
    </row>
    <row r="148" spans="1:8" x14ac:dyDescent="0.2">
      <c r="A148" s="2" t="s">
        <v>76</v>
      </c>
      <c r="B148" s="4">
        <v>3986</v>
      </c>
      <c r="C148" s="5">
        <v>10.16</v>
      </c>
      <c r="D148" s="4">
        <v>525</v>
      </c>
      <c r="E148" s="5">
        <v>3.53</v>
      </c>
      <c r="F148" s="4">
        <v>3460</v>
      </c>
      <c r="G148" s="5">
        <v>14.39</v>
      </c>
      <c r="H148" s="4">
        <v>1</v>
      </c>
    </row>
    <row r="149" spans="1:8" x14ac:dyDescent="0.2">
      <c r="A149" s="2" t="s">
        <v>77</v>
      </c>
      <c r="B149" s="4">
        <v>1425</v>
      </c>
      <c r="C149" s="5">
        <v>3.63</v>
      </c>
      <c r="D149" s="4">
        <v>365</v>
      </c>
      <c r="E149" s="5">
        <v>2.4500000000000002</v>
      </c>
      <c r="F149" s="4">
        <v>1060</v>
      </c>
      <c r="G149" s="5">
        <v>4.41</v>
      </c>
      <c r="H149" s="4">
        <v>0</v>
      </c>
    </row>
    <row r="150" spans="1:8" x14ac:dyDescent="0.2">
      <c r="A150" s="2" t="s">
        <v>78</v>
      </c>
      <c r="B150" s="4">
        <v>47</v>
      </c>
      <c r="C150" s="5">
        <v>0.12</v>
      </c>
      <c r="D150" s="4">
        <v>0</v>
      </c>
      <c r="E150" s="5">
        <v>0</v>
      </c>
      <c r="F150" s="4">
        <v>43</v>
      </c>
      <c r="G150" s="5">
        <v>0.18</v>
      </c>
      <c r="H150" s="4">
        <v>0</v>
      </c>
    </row>
    <row r="151" spans="1:8" x14ac:dyDescent="0.2">
      <c r="A151" s="2" t="s">
        <v>79</v>
      </c>
      <c r="B151" s="4">
        <v>986</v>
      </c>
      <c r="C151" s="5">
        <v>2.5099999999999998</v>
      </c>
      <c r="D151" s="4">
        <v>50</v>
      </c>
      <c r="E151" s="5">
        <v>0.34</v>
      </c>
      <c r="F151" s="4">
        <v>934</v>
      </c>
      <c r="G151" s="5">
        <v>3.89</v>
      </c>
      <c r="H151" s="4">
        <v>2</v>
      </c>
    </row>
    <row r="152" spans="1:8" x14ac:dyDescent="0.2">
      <c r="A152" s="2" t="s">
        <v>80</v>
      </c>
      <c r="B152" s="4">
        <v>422</v>
      </c>
      <c r="C152" s="5">
        <v>1.08</v>
      </c>
      <c r="D152" s="4">
        <v>65</v>
      </c>
      <c r="E152" s="5">
        <v>0.44</v>
      </c>
      <c r="F152" s="4">
        <v>355</v>
      </c>
      <c r="G152" s="5">
        <v>1.48</v>
      </c>
      <c r="H152" s="4">
        <v>2</v>
      </c>
    </row>
    <row r="153" spans="1:8" x14ac:dyDescent="0.2">
      <c r="A153" s="2" t="s">
        <v>81</v>
      </c>
      <c r="B153" s="4">
        <v>9685</v>
      </c>
      <c r="C153" s="5">
        <v>24.68</v>
      </c>
      <c r="D153" s="4">
        <v>2671</v>
      </c>
      <c r="E153" s="5">
        <v>17.940000000000001</v>
      </c>
      <c r="F153" s="4">
        <v>7010</v>
      </c>
      <c r="G153" s="5">
        <v>29.16</v>
      </c>
      <c r="H153" s="4">
        <v>4</v>
      </c>
    </row>
    <row r="154" spans="1:8" x14ac:dyDescent="0.2">
      <c r="A154" s="2" t="s">
        <v>82</v>
      </c>
      <c r="B154" s="4">
        <v>352</v>
      </c>
      <c r="C154" s="5">
        <v>0.9</v>
      </c>
      <c r="D154" s="4">
        <v>27</v>
      </c>
      <c r="E154" s="5">
        <v>0.18</v>
      </c>
      <c r="F154" s="4">
        <v>323</v>
      </c>
      <c r="G154" s="5">
        <v>1.34</v>
      </c>
      <c r="H154" s="4">
        <v>2</v>
      </c>
    </row>
    <row r="155" spans="1:8" x14ac:dyDescent="0.2">
      <c r="A155" s="2" t="s">
        <v>83</v>
      </c>
      <c r="B155" s="4">
        <v>4654</v>
      </c>
      <c r="C155" s="5">
        <v>11.86</v>
      </c>
      <c r="D155" s="4">
        <v>853</v>
      </c>
      <c r="E155" s="5">
        <v>5.73</v>
      </c>
      <c r="F155" s="4">
        <v>3791</v>
      </c>
      <c r="G155" s="5">
        <v>15.77</v>
      </c>
      <c r="H155" s="4">
        <v>6</v>
      </c>
    </row>
    <row r="156" spans="1:8" x14ac:dyDescent="0.2">
      <c r="A156" s="2" t="s">
        <v>84</v>
      </c>
      <c r="B156" s="4">
        <v>3526</v>
      </c>
      <c r="C156" s="5">
        <v>8.99</v>
      </c>
      <c r="D156" s="4">
        <v>1391</v>
      </c>
      <c r="E156" s="5">
        <v>9.34</v>
      </c>
      <c r="F156" s="4">
        <v>2131</v>
      </c>
      <c r="G156" s="5">
        <v>8.86</v>
      </c>
      <c r="H156" s="4">
        <v>4</v>
      </c>
    </row>
    <row r="157" spans="1:8" x14ac:dyDescent="0.2">
      <c r="A157" s="2" t="s">
        <v>85</v>
      </c>
      <c r="B157" s="4">
        <v>5156</v>
      </c>
      <c r="C157" s="5">
        <v>13.14</v>
      </c>
      <c r="D157" s="4">
        <v>4062</v>
      </c>
      <c r="E157" s="5">
        <v>27.29</v>
      </c>
      <c r="F157" s="4">
        <v>1091</v>
      </c>
      <c r="G157" s="5">
        <v>4.54</v>
      </c>
      <c r="H157" s="4">
        <v>0</v>
      </c>
    </row>
    <row r="158" spans="1:8" x14ac:dyDescent="0.2">
      <c r="A158" s="2" t="s">
        <v>86</v>
      </c>
      <c r="B158" s="4">
        <v>4206</v>
      </c>
      <c r="C158" s="5">
        <v>10.72</v>
      </c>
      <c r="D158" s="4">
        <v>2776</v>
      </c>
      <c r="E158" s="5">
        <v>18.649999999999999</v>
      </c>
      <c r="F158" s="4">
        <v>1422</v>
      </c>
      <c r="G158" s="5">
        <v>5.92</v>
      </c>
      <c r="H158" s="4">
        <v>5</v>
      </c>
    </row>
    <row r="159" spans="1:8" x14ac:dyDescent="0.2">
      <c r="A159" s="2" t="s">
        <v>87</v>
      </c>
      <c r="B159" s="4">
        <v>1365</v>
      </c>
      <c r="C159" s="5">
        <v>3.48</v>
      </c>
      <c r="D159" s="4">
        <v>716</v>
      </c>
      <c r="E159" s="5">
        <v>4.8099999999999996</v>
      </c>
      <c r="F159" s="4">
        <v>492</v>
      </c>
      <c r="G159" s="5">
        <v>2.0499999999999998</v>
      </c>
      <c r="H159" s="4">
        <v>4</v>
      </c>
    </row>
    <row r="160" spans="1:8" x14ac:dyDescent="0.2">
      <c r="A160" s="2" t="s">
        <v>88</v>
      </c>
      <c r="B160" s="4">
        <v>1919</v>
      </c>
      <c r="C160" s="5">
        <v>4.8899999999999997</v>
      </c>
      <c r="D160" s="4">
        <v>1133</v>
      </c>
      <c r="E160" s="5">
        <v>7.61</v>
      </c>
      <c r="F160" s="4">
        <v>711</v>
      </c>
      <c r="G160" s="5">
        <v>2.96</v>
      </c>
      <c r="H160" s="4">
        <v>3</v>
      </c>
    </row>
    <row r="161" spans="1:8" x14ac:dyDescent="0.2">
      <c r="A161" s="2" t="s">
        <v>89</v>
      </c>
      <c r="B161" s="4">
        <v>1503</v>
      </c>
      <c r="C161" s="5">
        <v>3.83</v>
      </c>
      <c r="D161" s="4">
        <v>251</v>
      </c>
      <c r="E161" s="5">
        <v>1.69</v>
      </c>
      <c r="F161" s="4">
        <v>1214</v>
      </c>
      <c r="G161" s="5">
        <v>5.05</v>
      </c>
      <c r="H161" s="4">
        <v>16</v>
      </c>
    </row>
    <row r="162" spans="1:8" x14ac:dyDescent="0.2">
      <c r="A162" s="1" t="s">
        <v>10</v>
      </c>
      <c r="B162" s="4">
        <v>4678</v>
      </c>
      <c r="C162" s="5">
        <v>99.999999999999986</v>
      </c>
      <c r="D162" s="4">
        <v>1700</v>
      </c>
      <c r="E162" s="5">
        <v>100.03</v>
      </c>
      <c r="F162" s="4">
        <v>2926</v>
      </c>
      <c r="G162" s="5">
        <v>99.97999999999999</v>
      </c>
      <c r="H162" s="4">
        <v>3</v>
      </c>
    </row>
    <row r="163" spans="1:8" x14ac:dyDescent="0.2">
      <c r="A163" s="2" t="s">
        <v>75</v>
      </c>
      <c r="B163" s="4">
        <v>2</v>
      </c>
      <c r="C163" s="5">
        <v>0.04</v>
      </c>
      <c r="D163" s="4">
        <v>0</v>
      </c>
      <c r="E163" s="5">
        <v>0</v>
      </c>
      <c r="F163" s="4">
        <v>2</v>
      </c>
      <c r="G163" s="5">
        <v>7.0000000000000007E-2</v>
      </c>
      <c r="H163" s="4">
        <v>0</v>
      </c>
    </row>
    <row r="164" spans="1:8" x14ac:dyDescent="0.2">
      <c r="A164" s="2" t="s">
        <v>76</v>
      </c>
      <c r="B164" s="4">
        <v>530</v>
      </c>
      <c r="C164" s="5">
        <v>11.33</v>
      </c>
      <c r="D164" s="4">
        <v>75</v>
      </c>
      <c r="E164" s="5">
        <v>4.41</v>
      </c>
      <c r="F164" s="4">
        <v>455</v>
      </c>
      <c r="G164" s="5">
        <v>15.55</v>
      </c>
      <c r="H164" s="4">
        <v>0</v>
      </c>
    </row>
    <row r="165" spans="1:8" x14ac:dyDescent="0.2">
      <c r="A165" s="2" t="s">
        <v>77</v>
      </c>
      <c r="B165" s="4">
        <v>237</v>
      </c>
      <c r="C165" s="5">
        <v>5.07</v>
      </c>
      <c r="D165" s="4">
        <v>43</v>
      </c>
      <c r="E165" s="5">
        <v>2.5299999999999998</v>
      </c>
      <c r="F165" s="4">
        <v>194</v>
      </c>
      <c r="G165" s="5">
        <v>6.63</v>
      </c>
      <c r="H165" s="4">
        <v>0</v>
      </c>
    </row>
    <row r="166" spans="1:8" x14ac:dyDescent="0.2">
      <c r="A166" s="2" t="s">
        <v>78</v>
      </c>
      <c r="B166" s="4">
        <v>4</v>
      </c>
      <c r="C166" s="5">
        <v>0.09</v>
      </c>
      <c r="D166" s="4">
        <v>0</v>
      </c>
      <c r="E166" s="5">
        <v>0</v>
      </c>
      <c r="F166" s="4">
        <v>3</v>
      </c>
      <c r="G166" s="5">
        <v>0.1</v>
      </c>
      <c r="H166" s="4">
        <v>0</v>
      </c>
    </row>
    <row r="167" spans="1:8" x14ac:dyDescent="0.2">
      <c r="A167" s="2" t="s">
        <v>79</v>
      </c>
      <c r="B167" s="4">
        <v>58</v>
      </c>
      <c r="C167" s="5">
        <v>1.24</v>
      </c>
      <c r="D167" s="4">
        <v>4</v>
      </c>
      <c r="E167" s="5">
        <v>0.24</v>
      </c>
      <c r="F167" s="4">
        <v>53</v>
      </c>
      <c r="G167" s="5">
        <v>1.81</v>
      </c>
      <c r="H167" s="4">
        <v>1</v>
      </c>
    </row>
    <row r="168" spans="1:8" x14ac:dyDescent="0.2">
      <c r="A168" s="2" t="s">
        <v>80</v>
      </c>
      <c r="B168" s="4">
        <v>112</v>
      </c>
      <c r="C168" s="5">
        <v>2.39</v>
      </c>
      <c r="D168" s="4">
        <v>4</v>
      </c>
      <c r="E168" s="5">
        <v>0.24</v>
      </c>
      <c r="F168" s="4">
        <v>108</v>
      </c>
      <c r="G168" s="5">
        <v>3.69</v>
      </c>
      <c r="H168" s="4">
        <v>0</v>
      </c>
    </row>
    <row r="169" spans="1:8" x14ac:dyDescent="0.2">
      <c r="A169" s="2" t="s">
        <v>81</v>
      </c>
      <c r="B169" s="4">
        <v>1261</v>
      </c>
      <c r="C169" s="5">
        <v>26.96</v>
      </c>
      <c r="D169" s="4">
        <v>382</v>
      </c>
      <c r="E169" s="5">
        <v>22.47</v>
      </c>
      <c r="F169" s="4">
        <v>879</v>
      </c>
      <c r="G169" s="5">
        <v>30.04</v>
      </c>
      <c r="H169" s="4">
        <v>0</v>
      </c>
    </row>
    <row r="170" spans="1:8" x14ac:dyDescent="0.2">
      <c r="A170" s="2" t="s">
        <v>82</v>
      </c>
      <c r="B170" s="4">
        <v>37</v>
      </c>
      <c r="C170" s="5">
        <v>0.79</v>
      </c>
      <c r="D170" s="4">
        <v>3</v>
      </c>
      <c r="E170" s="5">
        <v>0.18</v>
      </c>
      <c r="F170" s="4">
        <v>34</v>
      </c>
      <c r="G170" s="5">
        <v>1.1599999999999999</v>
      </c>
      <c r="H170" s="4">
        <v>0</v>
      </c>
    </row>
    <row r="171" spans="1:8" x14ac:dyDescent="0.2">
      <c r="A171" s="2" t="s">
        <v>83</v>
      </c>
      <c r="B171" s="4">
        <v>579</v>
      </c>
      <c r="C171" s="5">
        <v>12.38</v>
      </c>
      <c r="D171" s="4">
        <v>106</v>
      </c>
      <c r="E171" s="5">
        <v>6.24</v>
      </c>
      <c r="F171" s="4">
        <v>472</v>
      </c>
      <c r="G171" s="5">
        <v>16.13</v>
      </c>
      <c r="H171" s="4">
        <v>0</v>
      </c>
    </row>
    <row r="172" spans="1:8" x14ac:dyDescent="0.2">
      <c r="A172" s="2" t="s">
        <v>84</v>
      </c>
      <c r="B172" s="4">
        <v>212</v>
      </c>
      <c r="C172" s="5">
        <v>4.53</v>
      </c>
      <c r="D172" s="4">
        <v>72</v>
      </c>
      <c r="E172" s="5">
        <v>4.24</v>
      </c>
      <c r="F172" s="4">
        <v>140</v>
      </c>
      <c r="G172" s="5">
        <v>4.78</v>
      </c>
      <c r="H172" s="4">
        <v>0</v>
      </c>
    </row>
    <row r="173" spans="1:8" x14ac:dyDescent="0.2">
      <c r="A173" s="2" t="s">
        <v>85</v>
      </c>
      <c r="B173" s="4">
        <v>472</v>
      </c>
      <c r="C173" s="5">
        <v>10.09</v>
      </c>
      <c r="D173" s="4">
        <v>377</v>
      </c>
      <c r="E173" s="5">
        <v>22.18</v>
      </c>
      <c r="F173" s="4">
        <v>94</v>
      </c>
      <c r="G173" s="5">
        <v>3.21</v>
      </c>
      <c r="H173" s="4">
        <v>0</v>
      </c>
    </row>
    <row r="174" spans="1:8" x14ac:dyDescent="0.2">
      <c r="A174" s="2" t="s">
        <v>86</v>
      </c>
      <c r="B174" s="4">
        <v>539</v>
      </c>
      <c r="C174" s="5">
        <v>11.52</v>
      </c>
      <c r="D174" s="4">
        <v>363</v>
      </c>
      <c r="E174" s="5">
        <v>21.35</v>
      </c>
      <c r="F174" s="4">
        <v>174</v>
      </c>
      <c r="G174" s="5">
        <v>5.95</v>
      </c>
      <c r="H174" s="4">
        <v>0</v>
      </c>
    </row>
    <row r="175" spans="1:8" x14ac:dyDescent="0.2">
      <c r="A175" s="2" t="s">
        <v>87</v>
      </c>
      <c r="B175" s="4">
        <v>177</v>
      </c>
      <c r="C175" s="5">
        <v>3.78</v>
      </c>
      <c r="D175" s="4">
        <v>89</v>
      </c>
      <c r="E175" s="5">
        <v>5.24</v>
      </c>
      <c r="F175" s="4">
        <v>58</v>
      </c>
      <c r="G175" s="5">
        <v>1.98</v>
      </c>
      <c r="H175" s="4">
        <v>0</v>
      </c>
    </row>
    <row r="176" spans="1:8" x14ac:dyDescent="0.2">
      <c r="A176" s="2" t="s">
        <v>88</v>
      </c>
      <c r="B176" s="4">
        <v>270</v>
      </c>
      <c r="C176" s="5">
        <v>5.77</v>
      </c>
      <c r="D176" s="4">
        <v>148</v>
      </c>
      <c r="E176" s="5">
        <v>8.7100000000000009</v>
      </c>
      <c r="F176" s="4">
        <v>113</v>
      </c>
      <c r="G176" s="5">
        <v>3.86</v>
      </c>
      <c r="H176" s="4">
        <v>1</v>
      </c>
    </row>
    <row r="177" spans="1:8" x14ac:dyDescent="0.2">
      <c r="A177" s="2" t="s">
        <v>89</v>
      </c>
      <c r="B177" s="4">
        <v>188</v>
      </c>
      <c r="C177" s="5">
        <v>4.0199999999999996</v>
      </c>
      <c r="D177" s="4">
        <v>34</v>
      </c>
      <c r="E177" s="5">
        <v>2</v>
      </c>
      <c r="F177" s="4">
        <v>147</v>
      </c>
      <c r="G177" s="5">
        <v>5.0199999999999996</v>
      </c>
      <c r="H177" s="4">
        <v>1</v>
      </c>
    </row>
    <row r="178" spans="1:8" x14ac:dyDescent="0.2">
      <c r="A178" s="1" t="s">
        <v>11</v>
      </c>
      <c r="B178" s="4">
        <v>10289</v>
      </c>
      <c r="C178" s="5">
        <v>100</v>
      </c>
      <c r="D178" s="4">
        <v>2803</v>
      </c>
      <c r="E178" s="5">
        <v>99.999999999999986</v>
      </c>
      <c r="F178" s="4">
        <v>7407</v>
      </c>
      <c r="G178" s="5">
        <v>100.00000000000001</v>
      </c>
      <c r="H178" s="4">
        <v>22</v>
      </c>
    </row>
    <row r="179" spans="1:8" x14ac:dyDescent="0.2">
      <c r="A179" s="2" t="s">
        <v>75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2">
      <c r="A180" s="2" t="s">
        <v>76</v>
      </c>
      <c r="B180" s="4">
        <v>926</v>
      </c>
      <c r="C180" s="5">
        <v>9</v>
      </c>
      <c r="D180" s="4">
        <v>44</v>
      </c>
      <c r="E180" s="5">
        <v>1.57</v>
      </c>
      <c r="F180" s="4">
        <v>882</v>
      </c>
      <c r="G180" s="5">
        <v>11.91</v>
      </c>
      <c r="H180" s="4">
        <v>0</v>
      </c>
    </row>
    <row r="181" spans="1:8" x14ac:dyDescent="0.2">
      <c r="A181" s="2" t="s">
        <v>77</v>
      </c>
      <c r="B181" s="4">
        <v>488</v>
      </c>
      <c r="C181" s="5">
        <v>4.74</v>
      </c>
      <c r="D181" s="4">
        <v>107</v>
      </c>
      <c r="E181" s="5">
        <v>3.82</v>
      </c>
      <c r="F181" s="4">
        <v>381</v>
      </c>
      <c r="G181" s="5">
        <v>5.14</v>
      </c>
      <c r="H181" s="4">
        <v>0</v>
      </c>
    </row>
    <row r="182" spans="1:8" x14ac:dyDescent="0.2">
      <c r="A182" s="2" t="s">
        <v>78</v>
      </c>
      <c r="B182" s="4">
        <v>19</v>
      </c>
      <c r="C182" s="5">
        <v>0.18</v>
      </c>
      <c r="D182" s="4">
        <v>0</v>
      </c>
      <c r="E182" s="5">
        <v>0</v>
      </c>
      <c r="F182" s="4">
        <v>19</v>
      </c>
      <c r="G182" s="5">
        <v>0.26</v>
      </c>
      <c r="H182" s="4">
        <v>0</v>
      </c>
    </row>
    <row r="183" spans="1:8" x14ac:dyDescent="0.2">
      <c r="A183" s="2" t="s">
        <v>79</v>
      </c>
      <c r="B183" s="4">
        <v>361</v>
      </c>
      <c r="C183" s="5">
        <v>3.51</v>
      </c>
      <c r="D183" s="4">
        <v>6</v>
      </c>
      <c r="E183" s="5">
        <v>0.21</v>
      </c>
      <c r="F183" s="4">
        <v>354</v>
      </c>
      <c r="G183" s="5">
        <v>4.78</v>
      </c>
      <c r="H183" s="4">
        <v>1</v>
      </c>
    </row>
    <row r="184" spans="1:8" x14ac:dyDescent="0.2">
      <c r="A184" s="2" t="s">
        <v>80</v>
      </c>
      <c r="B184" s="4">
        <v>164</v>
      </c>
      <c r="C184" s="5">
        <v>1.59</v>
      </c>
      <c r="D184" s="4">
        <v>7</v>
      </c>
      <c r="E184" s="5">
        <v>0.25</v>
      </c>
      <c r="F184" s="4">
        <v>155</v>
      </c>
      <c r="G184" s="5">
        <v>2.09</v>
      </c>
      <c r="H184" s="4">
        <v>2</v>
      </c>
    </row>
    <row r="185" spans="1:8" x14ac:dyDescent="0.2">
      <c r="A185" s="2" t="s">
        <v>81</v>
      </c>
      <c r="B185" s="4">
        <v>3076</v>
      </c>
      <c r="C185" s="5">
        <v>29.9</v>
      </c>
      <c r="D185" s="4">
        <v>429</v>
      </c>
      <c r="E185" s="5">
        <v>15.31</v>
      </c>
      <c r="F185" s="4">
        <v>2645</v>
      </c>
      <c r="G185" s="5">
        <v>35.71</v>
      </c>
      <c r="H185" s="4">
        <v>2</v>
      </c>
    </row>
    <row r="186" spans="1:8" x14ac:dyDescent="0.2">
      <c r="A186" s="2" t="s">
        <v>82</v>
      </c>
      <c r="B186" s="4">
        <v>116</v>
      </c>
      <c r="C186" s="5">
        <v>1.1299999999999999</v>
      </c>
      <c r="D186" s="4">
        <v>3</v>
      </c>
      <c r="E186" s="5">
        <v>0.11</v>
      </c>
      <c r="F186" s="4">
        <v>111</v>
      </c>
      <c r="G186" s="5">
        <v>1.5</v>
      </c>
      <c r="H186" s="4">
        <v>2</v>
      </c>
    </row>
    <row r="187" spans="1:8" x14ac:dyDescent="0.2">
      <c r="A187" s="2" t="s">
        <v>83</v>
      </c>
      <c r="B187" s="4">
        <v>1026</v>
      </c>
      <c r="C187" s="5">
        <v>9.9700000000000006</v>
      </c>
      <c r="D187" s="4">
        <v>121</v>
      </c>
      <c r="E187" s="5">
        <v>4.32</v>
      </c>
      <c r="F187" s="4">
        <v>900</v>
      </c>
      <c r="G187" s="5">
        <v>12.15</v>
      </c>
      <c r="H187" s="4">
        <v>2</v>
      </c>
    </row>
    <row r="188" spans="1:8" x14ac:dyDescent="0.2">
      <c r="A188" s="2" t="s">
        <v>84</v>
      </c>
      <c r="B188" s="4">
        <v>878</v>
      </c>
      <c r="C188" s="5">
        <v>8.5299999999999994</v>
      </c>
      <c r="D188" s="4">
        <v>238</v>
      </c>
      <c r="E188" s="5">
        <v>8.49</v>
      </c>
      <c r="F188" s="4">
        <v>638</v>
      </c>
      <c r="G188" s="5">
        <v>8.61</v>
      </c>
      <c r="H188" s="4">
        <v>2</v>
      </c>
    </row>
    <row r="189" spans="1:8" x14ac:dyDescent="0.2">
      <c r="A189" s="2" t="s">
        <v>85</v>
      </c>
      <c r="B189" s="4">
        <v>1484</v>
      </c>
      <c r="C189" s="5">
        <v>14.42</v>
      </c>
      <c r="D189" s="4">
        <v>1128</v>
      </c>
      <c r="E189" s="5">
        <v>40.24</v>
      </c>
      <c r="F189" s="4">
        <v>355</v>
      </c>
      <c r="G189" s="5">
        <v>4.79</v>
      </c>
      <c r="H189" s="4">
        <v>0</v>
      </c>
    </row>
    <row r="190" spans="1:8" x14ac:dyDescent="0.2">
      <c r="A190" s="2" t="s">
        <v>86</v>
      </c>
      <c r="B190" s="4">
        <v>688</v>
      </c>
      <c r="C190" s="5">
        <v>6.69</v>
      </c>
      <c r="D190" s="4">
        <v>395</v>
      </c>
      <c r="E190" s="5">
        <v>14.09</v>
      </c>
      <c r="F190" s="4">
        <v>290</v>
      </c>
      <c r="G190" s="5">
        <v>3.92</v>
      </c>
      <c r="H190" s="4">
        <v>2</v>
      </c>
    </row>
    <row r="191" spans="1:8" x14ac:dyDescent="0.2">
      <c r="A191" s="2" t="s">
        <v>87</v>
      </c>
      <c r="B191" s="4">
        <v>187</v>
      </c>
      <c r="C191" s="5">
        <v>1.82</v>
      </c>
      <c r="D191" s="4">
        <v>66</v>
      </c>
      <c r="E191" s="5">
        <v>2.35</v>
      </c>
      <c r="F191" s="4">
        <v>95</v>
      </c>
      <c r="G191" s="5">
        <v>1.28</v>
      </c>
      <c r="H191" s="4">
        <v>1</v>
      </c>
    </row>
    <row r="192" spans="1:8" x14ac:dyDescent="0.2">
      <c r="A192" s="2" t="s">
        <v>88</v>
      </c>
      <c r="B192" s="4">
        <v>332</v>
      </c>
      <c r="C192" s="5">
        <v>3.23</v>
      </c>
      <c r="D192" s="4">
        <v>189</v>
      </c>
      <c r="E192" s="5">
        <v>6.74</v>
      </c>
      <c r="F192" s="4">
        <v>129</v>
      </c>
      <c r="G192" s="5">
        <v>1.74</v>
      </c>
      <c r="H192" s="4">
        <v>0</v>
      </c>
    </row>
    <row r="193" spans="1:8" x14ac:dyDescent="0.2">
      <c r="A193" s="2" t="s">
        <v>89</v>
      </c>
      <c r="B193" s="4">
        <v>544</v>
      </c>
      <c r="C193" s="5">
        <v>5.29</v>
      </c>
      <c r="D193" s="4">
        <v>70</v>
      </c>
      <c r="E193" s="5">
        <v>2.5</v>
      </c>
      <c r="F193" s="4">
        <v>453</v>
      </c>
      <c r="G193" s="5">
        <v>6.12</v>
      </c>
      <c r="H193" s="4">
        <v>8</v>
      </c>
    </row>
    <row r="194" spans="1:8" x14ac:dyDescent="0.2">
      <c r="A194" s="1" t="s">
        <v>12</v>
      </c>
      <c r="B194" s="4">
        <v>9917</v>
      </c>
      <c r="C194" s="5">
        <v>99.989999999999981</v>
      </c>
      <c r="D194" s="4">
        <v>3961</v>
      </c>
      <c r="E194" s="5">
        <v>99.990000000000009</v>
      </c>
      <c r="F194" s="4">
        <v>5923</v>
      </c>
      <c r="G194" s="5">
        <v>100.02</v>
      </c>
      <c r="H194" s="4">
        <v>13</v>
      </c>
    </row>
    <row r="195" spans="1:8" x14ac:dyDescent="0.2">
      <c r="A195" s="2" t="s">
        <v>75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2">
      <c r="A196" s="2" t="s">
        <v>76</v>
      </c>
      <c r="B196" s="4">
        <v>376</v>
      </c>
      <c r="C196" s="5">
        <v>3.79</v>
      </c>
      <c r="D196" s="4">
        <v>18</v>
      </c>
      <c r="E196" s="5">
        <v>0.45</v>
      </c>
      <c r="F196" s="4">
        <v>358</v>
      </c>
      <c r="G196" s="5">
        <v>6.04</v>
      </c>
      <c r="H196" s="4">
        <v>0</v>
      </c>
    </row>
    <row r="197" spans="1:8" x14ac:dyDescent="0.2">
      <c r="A197" s="2" t="s">
        <v>77</v>
      </c>
      <c r="B197" s="4">
        <v>202</v>
      </c>
      <c r="C197" s="5">
        <v>2.04</v>
      </c>
      <c r="D197" s="4">
        <v>37</v>
      </c>
      <c r="E197" s="5">
        <v>0.93</v>
      </c>
      <c r="F197" s="4">
        <v>165</v>
      </c>
      <c r="G197" s="5">
        <v>2.79</v>
      </c>
      <c r="H197" s="4">
        <v>0</v>
      </c>
    </row>
    <row r="198" spans="1:8" x14ac:dyDescent="0.2">
      <c r="A198" s="2" t="s">
        <v>78</v>
      </c>
      <c r="B198" s="4">
        <v>10</v>
      </c>
      <c r="C198" s="5">
        <v>0.1</v>
      </c>
      <c r="D198" s="4">
        <v>0</v>
      </c>
      <c r="E198" s="5">
        <v>0</v>
      </c>
      <c r="F198" s="4">
        <v>10</v>
      </c>
      <c r="G198" s="5">
        <v>0.17</v>
      </c>
      <c r="H198" s="4">
        <v>0</v>
      </c>
    </row>
    <row r="199" spans="1:8" x14ac:dyDescent="0.2">
      <c r="A199" s="2" t="s">
        <v>79</v>
      </c>
      <c r="B199" s="4">
        <v>377</v>
      </c>
      <c r="C199" s="5">
        <v>3.8</v>
      </c>
      <c r="D199" s="4">
        <v>25</v>
      </c>
      <c r="E199" s="5">
        <v>0.63</v>
      </c>
      <c r="F199" s="4">
        <v>352</v>
      </c>
      <c r="G199" s="5">
        <v>5.94</v>
      </c>
      <c r="H199" s="4">
        <v>0</v>
      </c>
    </row>
    <row r="200" spans="1:8" x14ac:dyDescent="0.2">
      <c r="A200" s="2" t="s">
        <v>80</v>
      </c>
      <c r="B200" s="4">
        <v>58</v>
      </c>
      <c r="C200" s="5">
        <v>0.57999999999999996</v>
      </c>
      <c r="D200" s="4">
        <v>0</v>
      </c>
      <c r="E200" s="5">
        <v>0</v>
      </c>
      <c r="F200" s="4">
        <v>58</v>
      </c>
      <c r="G200" s="5">
        <v>0.98</v>
      </c>
      <c r="H200" s="4">
        <v>0</v>
      </c>
    </row>
    <row r="201" spans="1:8" x14ac:dyDescent="0.2">
      <c r="A201" s="2" t="s">
        <v>81</v>
      </c>
      <c r="B201" s="4">
        <v>2254</v>
      </c>
      <c r="C201" s="5">
        <v>22.73</v>
      </c>
      <c r="D201" s="4">
        <v>570</v>
      </c>
      <c r="E201" s="5">
        <v>14.39</v>
      </c>
      <c r="F201" s="4">
        <v>1683</v>
      </c>
      <c r="G201" s="5">
        <v>28.41</v>
      </c>
      <c r="H201" s="4">
        <v>1</v>
      </c>
    </row>
    <row r="202" spans="1:8" x14ac:dyDescent="0.2">
      <c r="A202" s="2" t="s">
        <v>82</v>
      </c>
      <c r="B202" s="4">
        <v>98</v>
      </c>
      <c r="C202" s="5">
        <v>0.99</v>
      </c>
      <c r="D202" s="4">
        <v>4</v>
      </c>
      <c r="E202" s="5">
        <v>0.1</v>
      </c>
      <c r="F202" s="4">
        <v>94</v>
      </c>
      <c r="G202" s="5">
        <v>1.59</v>
      </c>
      <c r="H202" s="4">
        <v>0</v>
      </c>
    </row>
    <row r="203" spans="1:8" x14ac:dyDescent="0.2">
      <c r="A203" s="2" t="s">
        <v>83</v>
      </c>
      <c r="B203" s="4">
        <v>1207</v>
      </c>
      <c r="C203" s="5">
        <v>12.17</v>
      </c>
      <c r="D203" s="4">
        <v>164</v>
      </c>
      <c r="E203" s="5">
        <v>4.1399999999999997</v>
      </c>
      <c r="F203" s="4">
        <v>1041</v>
      </c>
      <c r="G203" s="5">
        <v>17.579999999999998</v>
      </c>
      <c r="H203" s="4">
        <v>2</v>
      </c>
    </row>
    <row r="204" spans="1:8" x14ac:dyDescent="0.2">
      <c r="A204" s="2" t="s">
        <v>84</v>
      </c>
      <c r="B204" s="4">
        <v>1432</v>
      </c>
      <c r="C204" s="5">
        <v>14.44</v>
      </c>
      <c r="D204" s="4">
        <v>724</v>
      </c>
      <c r="E204" s="5">
        <v>18.28</v>
      </c>
      <c r="F204" s="4">
        <v>707</v>
      </c>
      <c r="G204" s="5">
        <v>11.94</v>
      </c>
      <c r="H204" s="4">
        <v>1</v>
      </c>
    </row>
    <row r="205" spans="1:8" x14ac:dyDescent="0.2">
      <c r="A205" s="2" t="s">
        <v>85</v>
      </c>
      <c r="B205" s="4">
        <v>1685</v>
      </c>
      <c r="C205" s="5">
        <v>16.989999999999998</v>
      </c>
      <c r="D205" s="4">
        <v>1296</v>
      </c>
      <c r="E205" s="5">
        <v>32.72</v>
      </c>
      <c r="F205" s="4">
        <v>389</v>
      </c>
      <c r="G205" s="5">
        <v>6.57</v>
      </c>
      <c r="H205" s="4">
        <v>0</v>
      </c>
    </row>
    <row r="206" spans="1:8" x14ac:dyDescent="0.2">
      <c r="A206" s="2" t="s">
        <v>86</v>
      </c>
      <c r="B206" s="4">
        <v>1093</v>
      </c>
      <c r="C206" s="5">
        <v>11.02</v>
      </c>
      <c r="D206" s="4">
        <v>647</v>
      </c>
      <c r="E206" s="5">
        <v>16.329999999999998</v>
      </c>
      <c r="F206" s="4">
        <v>444</v>
      </c>
      <c r="G206" s="5">
        <v>7.5</v>
      </c>
      <c r="H206" s="4">
        <v>2</v>
      </c>
    </row>
    <row r="207" spans="1:8" x14ac:dyDescent="0.2">
      <c r="A207" s="2" t="s">
        <v>87</v>
      </c>
      <c r="B207" s="4">
        <v>357</v>
      </c>
      <c r="C207" s="5">
        <v>3.6</v>
      </c>
      <c r="D207" s="4">
        <v>177</v>
      </c>
      <c r="E207" s="5">
        <v>4.47</v>
      </c>
      <c r="F207" s="4">
        <v>165</v>
      </c>
      <c r="G207" s="5">
        <v>2.79</v>
      </c>
      <c r="H207" s="4">
        <v>1</v>
      </c>
    </row>
    <row r="208" spans="1:8" x14ac:dyDescent="0.2">
      <c r="A208" s="2" t="s">
        <v>88</v>
      </c>
      <c r="B208" s="4">
        <v>410</v>
      </c>
      <c r="C208" s="5">
        <v>4.13</v>
      </c>
      <c r="D208" s="4">
        <v>272</v>
      </c>
      <c r="E208" s="5">
        <v>6.87</v>
      </c>
      <c r="F208" s="4">
        <v>133</v>
      </c>
      <c r="G208" s="5">
        <v>2.25</v>
      </c>
      <c r="H208" s="4">
        <v>1</v>
      </c>
    </row>
    <row r="209" spans="1:8" x14ac:dyDescent="0.2">
      <c r="A209" s="2" t="s">
        <v>89</v>
      </c>
      <c r="B209" s="4">
        <v>358</v>
      </c>
      <c r="C209" s="5">
        <v>3.61</v>
      </c>
      <c r="D209" s="4">
        <v>27</v>
      </c>
      <c r="E209" s="5">
        <v>0.68</v>
      </c>
      <c r="F209" s="4">
        <v>324</v>
      </c>
      <c r="G209" s="5">
        <v>5.47</v>
      </c>
      <c r="H209" s="4">
        <v>5</v>
      </c>
    </row>
    <row r="210" spans="1:8" x14ac:dyDescent="0.2">
      <c r="A210" s="1" t="s">
        <v>13</v>
      </c>
      <c r="B210" s="4">
        <v>5258</v>
      </c>
      <c r="C210" s="5">
        <v>100.00000000000001</v>
      </c>
      <c r="D210" s="4">
        <v>2255</v>
      </c>
      <c r="E210" s="5">
        <v>100</v>
      </c>
      <c r="F210" s="4">
        <v>2957</v>
      </c>
      <c r="G210" s="5">
        <v>100.02000000000001</v>
      </c>
      <c r="H210" s="4">
        <v>6</v>
      </c>
    </row>
    <row r="211" spans="1:8" x14ac:dyDescent="0.2">
      <c r="A211" s="2" t="s">
        <v>75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2">
      <c r="A212" s="2" t="s">
        <v>76</v>
      </c>
      <c r="B212" s="4">
        <v>723</v>
      </c>
      <c r="C212" s="5">
        <v>13.75</v>
      </c>
      <c r="D212" s="4">
        <v>92</v>
      </c>
      <c r="E212" s="5">
        <v>4.08</v>
      </c>
      <c r="F212" s="4">
        <v>631</v>
      </c>
      <c r="G212" s="5">
        <v>21.34</v>
      </c>
      <c r="H212" s="4">
        <v>0</v>
      </c>
    </row>
    <row r="213" spans="1:8" x14ac:dyDescent="0.2">
      <c r="A213" s="2" t="s">
        <v>77</v>
      </c>
      <c r="B213" s="4">
        <v>227</v>
      </c>
      <c r="C213" s="5">
        <v>4.32</v>
      </c>
      <c r="D213" s="4">
        <v>71</v>
      </c>
      <c r="E213" s="5">
        <v>3.15</v>
      </c>
      <c r="F213" s="4">
        <v>156</v>
      </c>
      <c r="G213" s="5">
        <v>5.28</v>
      </c>
      <c r="H213" s="4">
        <v>0</v>
      </c>
    </row>
    <row r="214" spans="1:8" x14ac:dyDescent="0.2">
      <c r="A214" s="2" t="s">
        <v>78</v>
      </c>
      <c r="B214" s="4">
        <v>8</v>
      </c>
      <c r="C214" s="5">
        <v>0.15</v>
      </c>
      <c r="D214" s="4">
        <v>0</v>
      </c>
      <c r="E214" s="5">
        <v>0</v>
      </c>
      <c r="F214" s="4">
        <v>7</v>
      </c>
      <c r="G214" s="5">
        <v>0.24</v>
      </c>
      <c r="H214" s="4">
        <v>0</v>
      </c>
    </row>
    <row r="215" spans="1:8" x14ac:dyDescent="0.2">
      <c r="A215" s="2" t="s">
        <v>79</v>
      </c>
      <c r="B215" s="4">
        <v>67</v>
      </c>
      <c r="C215" s="5">
        <v>1.27</v>
      </c>
      <c r="D215" s="4">
        <v>8</v>
      </c>
      <c r="E215" s="5">
        <v>0.35</v>
      </c>
      <c r="F215" s="4">
        <v>59</v>
      </c>
      <c r="G215" s="5">
        <v>2</v>
      </c>
      <c r="H215" s="4">
        <v>0</v>
      </c>
    </row>
    <row r="216" spans="1:8" x14ac:dyDescent="0.2">
      <c r="A216" s="2" t="s">
        <v>80</v>
      </c>
      <c r="B216" s="4">
        <v>26</v>
      </c>
      <c r="C216" s="5">
        <v>0.49</v>
      </c>
      <c r="D216" s="4">
        <v>13</v>
      </c>
      <c r="E216" s="5">
        <v>0.57999999999999996</v>
      </c>
      <c r="F216" s="4">
        <v>13</v>
      </c>
      <c r="G216" s="5">
        <v>0.44</v>
      </c>
      <c r="H216" s="4">
        <v>0</v>
      </c>
    </row>
    <row r="217" spans="1:8" x14ac:dyDescent="0.2">
      <c r="A217" s="2" t="s">
        <v>81</v>
      </c>
      <c r="B217" s="4">
        <v>1141</v>
      </c>
      <c r="C217" s="5">
        <v>21.7</v>
      </c>
      <c r="D217" s="4">
        <v>442</v>
      </c>
      <c r="E217" s="5">
        <v>19.600000000000001</v>
      </c>
      <c r="F217" s="4">
        <v>699</v>
      </c>
      <c r="G217" s="5">
        <v>23.64</v>
      </c>
      <c r="H217" s="4">
        <v>0</v>
      </c>
    </row>
    <row r="218" spans="1:8" x14ac:dyDescent="0.2">
      <c r="A218" s="2" t="s">
        <v>82</v>
      </c>
      <c r="B218" s="4">
        <v>35</v>
      </c>
      <c r="C218" s="5">
        <v>0.67</v>
      </c>
      <c r="D218" s="4">
        <v>3</v>
      </c>
      <c r="E218" s="5">
        <v>0.13</v>
      </c>
      <c r="F218" s="4">
        <v>32</v>
      </c>
      <c r="G218" s="5">
        <v>1.08</v>
      </c>
      <c r="H218" s="4">
        <v>0</v>
      </c>
    </row>
    <row r="219" spans="1:8" x14ac:dyDescent="0.2">
      <c r="A219" s="2" t="s">
        <v>83</v>
      </c>
      <c r="B219" s="4">
        <v>776</v>
      </c>
      <c r="C219" s="5">
        <v>14.76</v>
      </c>
      <c r="D219" s="4">
        <v>216</v>
      </c>
      <c r="E219" s="5">
        <v>9.58</v>
      </c>
      <c r="F219" s="4">
        <v>558</v>
      </c>
      <c r="G219" s="5">
        <v>18.87</v>
      </c>
      <c r="H219" s="4">
        <v>2</v>
      </c>
    </row>
    <row r="220" spans="1:8" x14ac:dyDescent="0.2">
      <c r="A220" s="2" t="s">
        <v>84</v>
      </c>
      <c r="B220" s="4">
        <v>401</v>
      </c>
      <c r="C220" s="5">
        <v>7.63</v>
      </c>
      <c r="D220" s="4">
        <v>139</v>
      </c>
      <c r="E220" s="5">
        <v>6.16</v>
      </c>
      <c r="F220" s="4">
        <v>262</v>
      </c>
      <c r="G220" s="5">
        <v>8.86</v>
      </c>
      <c r="H220" s="4">
        <v>0</v>
      </c>
    </row>
    <row r="221" spans="1:8" x14ac:dyDescent="0.2">
      <c r="A221" s="2" t="s">
        <v>85</v>
      </c>
      <c r="B221" s="4">
        <v>532</v>
      </c>
      <c r="C221" s="5">
        <v>10.119999999999999</v>
      </c>
      <c r="D221" s="4">
        <v>442</v>
      </c>
      <c r="E221" s="5">
        <v>19.600000000000001</v>
      </c>
      <c r="F221" s="4">
        <v>90</v>
      </c>
      <c r="G221" s="5">
        <v>3.04</v>
      </c>
      <c r="H221" s="4">
        <v>0</v>
      </c>
    </row>
    <row r="222" spans="1:8" x14ac:dyDescent="0.2">
      <c r="A222" s="2" t="s">
        <v>86</v>
      </c>
      <c r="B222" s="4">
        <v>639</v>
      </c>
      <c r="C222" s="5">
        <v>12.15</v>
      </c>
      <c r="D222" s="4">
        <v>467</v>
      </c>
      <c r="E222" s="5">
        <v>20.71</v>
      </c>
      <c r="F222" s="4">
        <v>172</v>
      </c>
      <c r="G222" s="5">
        <v>5.82</v>
      </c>
      <c r="H222" s="4">
        <v>0</v>
      </c>
    </row>
    <row r="223" spans="1:8" x14ac:dyDescent="0.2">
      <c r="A223" s="2" t="s">
        <v>87</v>
      </c>
      <c r="B223" s="4">
        <v>224</v>
      </c>
      <c r="C223" s="5">
        <v>4.26</v>
      </c>
      <c r="D223" s="4">
        <v>136</v>
      </c>
      <c r="E223" s="5">
        <v>6.03</v>
      </c>
      <c r="F223" s="4">
        <v>62</v>
      </c>
      <c r="G223" s="5">
        <v>2.1</v>
      </c>
      <c r="H223" s="4">
        <v>1</v>
      </c>
    </row>
    <row r="224" spans="1:8" x14ac:dyDescent="0.2">
      <c r="A224" s="2" t="s">
        <v>88</v>
      </c>
      <c r="B224" s="4">
        <v>313</v>
      </c>
      <c r="C224" s="5">
        <v>5.95</v>
      </c>
      <c r="D224" s="4">
        <v>183</v>
      </c>
      <c r="E224" s="5">
        <v>8.1199999999999992</v>
      </c>
      <c r="F224" s="4">
        <v>115</v>
      </c>
      <c r="G224" s="5">
        <v>3.89</v>
      </c>
      <c r="H224" s="4">
        <v>1</v>
      </c>
    </row>
    <row r="225" spans="1:8" x14ac:dyDescent="0.2">
      <c r="A225" s="2" t="s">
        <v>89</v>
      </c>
      <c r="B225" s="4">
        <v>146</v>
      </c>
      <c r="C225" s="5">
        <v>2.78</v>
      </c>
      <c r="D225" s="4">
        <v>43</v>
      </c>
      <c r="E225" s="5">
        <v>1.91</v>
      </c>
      <c r="F225" s="4">
        <v>101</v>
      </c>
      <c r="G225" s="5">
        <v>3.42</v>
      </c>
      <c r="H225" s="4">
        <v>2</v>
      </c>
    </row>
    <row r="226" spans="1:8" x14ac:dyDescent="0.2">
      <c r="A226" s="1" t="s">
        <v>14</v>
      </c>
      <c r="B226" s="4">
        <v>3016</v>
      </c>
      <c r="C226" s="5">
        <v>99.99</v>
      </c>
      <c r="D226" s="4">
        <v>1216</v>
      </c>
      <c r="E226" s="5">
        <v>99.990000000000009</v>
      </c>
      <c r="F226" s="4">
        <v>1758</v>
      </c>
      <c r="G226" s="5">
        <v>100.01999999999998</v>
      </c>
      <c r="H226" s="4">
        <v>1</v>
      </c>
    </row>
    <row r="227" spans="1:8" x14ac:dyDescent="0.2">
      <c r="A227" s="2" t="s">
        <v>75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76</v>
      </c>
      <c r="B228" s="4">
        <v>559</v>
      </c>
      <c r="C228" s="5">
        <v>18.53</v>
      </c>
      <c r="D228" s="4">
        <v>98</v>
      </c>
      <c r="E228" s="5">
        <v>8.06</v>
      </c>
      <c r="F228" s="4">
        <v>461</v>
      </c>
      <c r="G228" s="5">
        <v>26.22</v>
      </c>
      <c r="H228" s="4">
        <v>0</v>
      </c>
    </row>
    <row r="229" spans="1:8" x14ac:dyDescent="0.2">
      <c r="A229" s="2" t="s">
        <v>77</v>
      </c>
      <c r="B229" s="4">
        <v>87</v>
      </c>
      <c r="C229" s="5">
        <v>2.88</v>
      </c>
      <c r="D229" s="4">
        <v>37</v>
      </c>
      <c r="E229" s="5">
        <v>3.04</v>
      </c>
      <c r="F229" s="4">
        <v>50</v>
      </c>
      <c r="G229" s="5">
        <v>2.84</v>
      </c>
      <c r="H229" s="4">
        <v>0</v>
      </c>
    </row>
    <row r="230" spans="1:8" x14ac:dyDescent="0.2">
      <c r="A230" s="2" t="s">
        <v>78</v>
      </c>
      <c r="B230" s="4">
        <v>3</v>
      </c>
      <c r="C230" s="5">
        <v>0.1</v>
      </c>
      <c r="D230" s="4">
        <v>0</v>
      </c>
      <c r="E230" s="5">
        <v>0</v>
      </c>
      <c r="F230" s="4">
        <v>1</v>
      </c>
      <c r="G230" s="5">
        <v>0.06</v>
      </c>
      <c r="H230" s="4">
        <v>0</v>
      </c>
    </row>
    <row r="231" spans="1:8" x14ac:dyDescent="0.2">
      <c r="A231" s="2" t="s">
        <v>79</v>
      </c>
      <c r="B231" s="4">
        <v>34</v>
      </c>
      <c r="C231" s="5">
        <v>1.1299999999999999</v>
      </c>
      <c r="D231" s="4">
        <v>1</v>
      </c>
      <c r="E231" s="5">
        <v>0.08</v>
      </c>
      <c r="F231" s="4">
        <v>33</v>
      </c>
      <c r="G231" s="5">
        <v>1.88</v>
      </c>
      <c r="H231" s="4">
        <v>0</v>
      </c>
    </row>
    <row r="232" spans="1:8" x14ac:dyDescent="0.2">
      <c r="A232" s="2" t="s">
        <v>80</v>
      </c>
      <c r="B232" s="4">
        <v>25</v>
      </c>
      <c r="C232" s="5">
        <v>0.83</v>
      </c>
      <c r="D232" s="4">
        <v>17</v>
      </c>
      <c r="E232" s="5">
        <v>1.4</v>
      </c>
      <c r="F232" s="4">
        <v>8</v>
      </c>
      <c r="G232" s="5">
        <v>0.46</v>
      </c>
      <c r="H232" s="4">
        <v>0</v>
      </c>
    </row>
    <row r="233" spans="1:8" x14ac:dyDescent="0.2">
      <c r="A233" s="2" t="s">
        <v>81</v>
      </c>
      <c r="B233" s="4">
        <v>713</v>
      </c>
      <c r="C233" s="5">
        <v>23.64</v>
      </c>
      <c r="D233" s="4">
        <v>273</v>
      </c>
      <c r="E233" s="5">
        <v>22.45</v>
      </c>
      <c r="F233" s="4">
        <v>440</v>
      </c>
      <c r="G233" s="5">
        <v>25.03</v>
      </c>
      <c r="H233" s="4">
        <v>0</v>
      </c>
    </row>
    <row r="234" spans="1:8" x14ac:dyDescent="0.2">
      <c r="A234" s="2" t="s">
        <v>82</v>
      </c>
      <c r="B234" s="4">
        <v>26</v>
      </c>
      <c r="C234" s="5">
        <v>0.86</v>
      </c>
      <c r="D234" s="4">
        <v>4</v>
      </c>
      <c r="E234" s="5">
        <v>0.33</v>
      </c>
      <c r="F234" s="4">
        <v>22</v>
      </c>
      <c r="G234" s="5">
        <v>1.25</v>
      </c>
      <c r="H234" s="4">
        <v>0</v>
      </c>
    </row>
    <row r="235" spans="1:8" x14ac:dyDescent="0.2">
      <c r="A235" s="2" t="s">
        <v>83</v>
      </c>
      <c r="B235" s="4">
        <v>293</v>
      </c>
      <c r="C235" s="5">
        <v>9.7100000000000009</v>
      </c>
      <c r="D235" s="4">
        <v>64</v>
      </c>
      <c r="E235" s="5">
        <v>5.26</v>
      </c>
      <c r="F235" s="4">
        <v>229</v>
      </c>
      <c r="G235" s="5">
        <v>13.03</v>
      </c>
      <c r="H235" s="4">
        <v>0</v>
      </c>
    </row>
    <row r="236" spans="1:8" x14ac:dyDescent="0.2">
      <c r="A236" s="2" t="s">
        <v>84</v>
      </c>
      <c r="B236" s="4">
        <v>197</v>
      </c>
      <c r="C236" s="5">
        <v>6.53</v>
      </c>
      <c r="D236" s="4">
        <v>59</v>
      </c>
      <c r="E236" s="5">
        <v>4.8499999999999996</v>
      </c>
      <c r="F236" s="4">
        <v>138</v>
      </c>
      <c r="G236" s="5">
        <v>7.85</v>
      </c>
      <c r="H236" s="4">
        <v>0</v>
      </c>
    </row>
    <row r="237" spans="1:8" x14ac:dyDescent="0.2">
      <c r="A237" s="2" t="s">
        <v>85</v>
      </c>
      <c r="B237" s="4">
        <v>259</v>
      </c>
      <c r="C237" s="5">
        <v>8.59</v>
      </c>
      <c r="D237" s="4">
        <v>196</v>
      </c>
      <c r="E237" s="5">
        <v>16.12</v>
      </c>
      <c r="F237" s="4">
        <v>62</v>
      </c>
      <c r="G237" s="5">
        <v>3.53</v>
      </c>
      <c r="H237" s="4">
        <v>0</v>
      </c>
    </row>
    <row r="238" spans="1:8" x14ac:dyDescent="0.2">
      <c r="A238" s="2" t="s">
        <v>86</v>
      </c>
      <c r="B238" s="4">
        <v>379</v>
      </c>
      <c r="C238" s="5">
        <v>12.57</v>
      </c>
      <c r="D238" s="4">
        <v>243</v>
      </c>
      <c r="E238" s="5">
        <v>19.98</v>
      </c>
      <c r="F238" s="4">
        <v>135</v>
      </c>
      <c r="G238" s="5">
        <v>7.68</v>
      </c>
      <c r="H238" s="4">
        <v>1</v>
      </c>
    </row>
    <row r="239" spans="1:8" x14ac:dyDescent="0.2">
      <c r="A239" s="2" t="s">
        <v>87</v>
      </c>
      <c r="B239" s="4">
        <v>150</v>
      </c>
      <c r="C239" s="5">
        <v>4.97</v>
      </c>
      <c r="D239" s="4">
        <v>86</v>
      </c>
      <c r="E239" s="5">
        <v>7.07</v>
      </c>
      <c r="F239" s="4">
        <v>40</v>
      </c>
      <c r="G239" s="5">
        <v>2.2799999999999998</v>
      </c>
      <c r="H239" s="4">
        <v>0</v>
      </c>
    </row>
    <row r="240" spans="1:8" x14ac:dyDescent="0.2">
      <c r="A240" s="2" t="s">
        <v>88</v>
      </c>
      <c r="B240" s="4">
        <v>199</v>
      </c>
      <c r="C240" s="5">
        <v>6.6</v>
      </c>
      <c r="D240" s="4">
        <v>106</v>
      </c>
      <c r="E240" s="5">
        <v>8.7200000000000006</v>
      </c>
      <c r="F240" s="4">
        <v>80</v>
      </c>
      <c r="G240" s="5">
        <v>4.55</v>
      </c>
      <c r="H240" s="4">
        <v>0</v>
      </c>
    </row>
    <row r="241" spans="1:8" x14ac:dyDescent="0.2">
      <c r="A241" s="2" t="s">
        <v>89</v>
      </c>
      <c r="B241" s="4">
        <v>92</v>
      </c>
      <c r="C241" s="5">
        <v>3.05</v>
      </c>
      <c r="D241" s="4">
        <v>32</v>
      </c>
      <c r="E241" s="5">
        <v>2.63</v>
      </c>
      <c r="F241" s="4">
        <v>59</v>
      </c>
      <c r="G241" s="5">
        <v>3.36</v>
      </c>
      <c r="H241" s="4">
        <v>0</v>
      </c>
    </row>
    <row r="242" spans="1:8" x14ac:dyDescent="0.2">
      <c r="A242" s="1" t="s">
        <v>15</v>
      </c>
      <c r="B242" s="4">
        <v>2043</v>
      </c>
      <c r="C242" s="5">
        <v>99.999999999999986</v>
      </c>
      <c r="D242" s="4">
        <v>986</v>
      </c>
      <c r="E242" s="5">
        <v>100</v>
      </c>
      <c r="F242" s="4">
        <v>1039</v>
      </c>
      <c r="G242" s="5">
        <v>100.01</v>
      </c>
      <c r="H242" s="4">
        <v>2</v>
      </c>
    </row>
    <row r="243" spans="1:8" x14ac:dyDescent="0.2">
      <c r="A243" s="2" t="s">
        <v>75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76</v>
      </c>
      <c r="B244" s="4">
        <v>276</v>
      </c>
      <c r="C244" s="5">
        <v>13.51</v>
      </c>
      <c r="D244" s="4">
        <v>40</v>
      </c>
      <c r="E244" s="5">
        <v>4.0599999999999996</v>
      </c>
      <c r="F244" s="4">
        <v>236</v>
      </c>
      <c r="G244" s="5">
        <v>22.71</v>
      </c>
      <c r="H244" s="4">
        <v>0</v>
      </c>
    </row>
    <row r="245" spans="1:8" x14ac:dyDescent="0.2">
      <c r="A245" s="2" t="s">
        <v>77</v>
      </c>
      <c r="B245" s="4">
        <v>56</v>
      </c>
      <c r="C245" s="5">
        <v>2.74</v>
      </c>
      <c r="D245" s="4">
        <v>23</v>
      </c>
      <c r="E245" s="5">
        <v>2.33</v>
      </c>
      <c r="F245" s="4">
        <v>33</v>
      </c>
      <c r="G245" s="5">
        <v>3.18</v>
      </c>
      <c r="H245" s="4">
        <v>0</v>
      </c>
    </row>
    <row r="246" spans="1:8" x14ac:dyDescent="0.2">
      <c r="A246" s="2" t="s">
        <v>78</v>
      </c>
      <c r="B246" s="4">
        <v>1</v>
      </c>
      <c r="C246" s="5">
        <v>0.05</v>
      </c>
      <c r="D246" s="4">
        <v>0</v>
      </c>
      <c r="E246" s="5">
        <v>0</v>
      </c>
      <c r="F246" s="4">
        <v>1</v>
      </c>
      <c r="G246" s="5">
        <v>0.1</v>
      </c>
      <c r="H246" s="4">
        <v>0</v>
      </c>
    </row>
    <row r="247" spans="1:8" x14ac:dyDescent="0.2">
      <c r="A247" s="2" t="s">
        <v>79</v>
      </c>
      <c r="B247" s="4">
        <v>25</v>
      </c>
      <c r="C247" s="5">
        <v>1.22</v>
      </c>
      <c r="D247" s="4">
        <v>1</v>
      </c>
      <c r="E247" s="5">
        <v>0.1</v>
      </c>
      <c r="F247" s="4">
        <v>24</v>
      </c>
      <c r="G247" s="5">
        <v>2.31</v>
      </c>
      <c r="H247" s="4">
        <v>0</v>
      </c>
    </row>
    <row r="248" spans="1:8" x14ac:dyDescent="0.2">
      <c r="A248" s="2" t="s">
        <v>80</v>
      </c>
      <c r="B248" s="4">
        <v>8</v>
      </c>
      <c r="C248" s="5">
        <v>0.39</v>
      </c>
      <c r="D248" s="4">
        <v>2</v>
      </c>
      <c r="E248" s="5">
        <v>0.2</v>
      </c>
      <c r="F248" s="4">
        <v>6</v>
      </c>
      <c r="G248" s="5">
        <v>0.57999999999999996</v>
      </c>
      <c r="H248" s="4">
        <v>0</v>
      </c>
    </row>
    <row r="249" spans="1:8" x14ac:dyDescent="0.2">
      <c r="A249" s="2" t="s">
        <v>81</v>
      </c>
      <c r="B249" s="4">
        <v>408</v>
      </c>
      <c r="C249" s="5">
        <v>19.97</v>
      </c>
      <c r="D249" s="4">
        <v>193</v>
      </c>
      <c r="E249" s="5">
        <v>19.57</v>
      </c>
      <c r="F249" s="4">
        <v>214</v>
      </c>
      <c r="G249" s="5">
        <v>20.6</v>
      </c>
      <c r="H249" s="4">
        <v>1</v>
      </c>
    </row>
    <row r="250" spans="1:8" x14ac:dyDescent="0.2">
      <c r="A250" s="2" t="s">
        <v>82</v>
      </c>
      <c r="B250" s="4">
        <v>14</v>
      </c>
      <c r="C250" s="5">
        <v>0.69</v>
      </c>
      <c r="D250" s="4">
        <v>5</v>
      </c>
      <c r="E250" s="5">
        <v>0.51</v>
      </c>
      <c r="F250" s="4">
        <v>9</v>
      </c>
      <c r="G250" s="5">
        <v>0.87</v>
      </c>
      <c r="H250" s="4">
        <v>0</v>
      </c>
    </row>
    <row r="251" spans="1:8" x14ac:dyDescent="0.2">
      <c r="A251" s="2" t="s">
        <v>83</v>
      </c>
      <c r="B251" s="4">
        <v>301</v>
      </c>
      <c r="C251" s="5">
        <v>14.73</v>
      </c>
      <c r="D251" s="4">
        <v>96</v>
      </c>
      <c r="E251" s="5">
        <v>9.74</v>
      </c>
      <c r="F251" s="4">
        <v>205</v>
      </c>
      <c r="G251" s="5">
        <v>19.73</v>
      </c>
      <c r="H251" s="4">
        <v>0</v>
      </c>
    </row>
    <row r="252" spans="1:8" x14ac:dyDescent="0.2">
      <c r="A252" s="2" t="s">
        <v>84</v>
      </c>
      <c r="B252" s="4">
        <v>119</v>
      </c>
      <c r="C252" s="5">
        <v>5.82</v>
      </c>
      <c r="D252" s="4">
        <v>42</v>
      </c>
      <c r="E252" s="5">
        <v>4.26</v>
      </c>
      <c r="F252" s="4">
        <v>77</v>
      </c>
      <c r="G252" s="5">
        <v>7.41</v>
      </c>
      <c r="H252" s="4">
        <v>0</v>
      </c>
    </row>
    <row r="253" spans="1:8" x14ac:dyDescent="0.2">
      <c r="A253" s="2" t="s">
        <v>85</v>
      </c>
      <c r="B253" s="4">
        <v>227</v>
      </c>
      <c r="C253" s="5">
        <v>11.11</v>
      </c>
      <c r="D253" s="4">
        <v>194</v>
      </c>
      <c r="E253" s="5">
        <v>19.68</v>
      </c>
      <c r="F253" s="4">
        <v>33</v>
      </c>
      <c r="G253" s="5">
        <v>3.18</v>
      </c>
      <c r="H253" s="4">
        <v>0</v>
      </c>
    </row>
    <row r="254" spans="1:8" x14ac:dyDescent="0.2">
      <c r="A254" s="2" t="s">
        <v>86</v>
      </c>
      <c r="B254" s="4">
        <v>327</v>
      </c>
      <c r="C254" s="5">
        <v>16.010000000000002</v>
      </c>
      <c r="D254" s="4">
        <v>251</v>
      </c>
      <c r="E254" s="5">
        <v>25.46</v>
      </c>
      <c r="F254" s="4">
        <v>76</v>
      </c>
      <c r="G254" s="5">
        <v>7.31</v>
      </c>
      <c r="H254" s="4">
        <v>0</v>
      </c>
    </row>
    <row r="255" spans="1:8" x14ac:dyDescent="0.2">
      <c r="A255" s="2" t="s">
        <v>87</v>
      </c>
      <c r="B255" s="4">
        <v>85</v>
      </c>
      <c r="C255" s="5">
        <v>4.16</v>
      </c>
      <c r="D255" s="4">
        <v>49</v>
      </c>
      <c r="E255" s="5">
        <v>4.97</v>
      </c>
      <c r="F255" s="4">
        <v>24</v>
      </c>
      <c r="G255" s="5">
        <v>2.31</v>
      </c>
      <c r="H255" s="4">
        <v>1</v>
      </c>
    </row>
    <row r="256" spans="1:8" x14ac:dyDescent="0.2">
      <c r="A256" s="2" t="s">
        <v>88</v>
      </c>
      <c r="B256" s="4">
        <v>136</v>
      </c>
      <c r="C256" s="5">
        <v>6.66</v>
      </c>
      <c r="D256" s="4">
        <v>73</v>
      </c>
      <c r="E256" s="5">
        <v>7.4</v>
      </c>
      <c r="F256" s="4">
        <v>58</v>
      </c>
      <c r="G256" s="5">
        <v>5.58</v>
      </c>
      <c r="H256" s="4">
        <v>0</v>
      </c>
    </row>
    <row r="257" spans="1:8" x14ac:dyDescent="0.2">
      <c r="A257" s="2" t="s">
        <v>89</v>
      </c>
      <c r="B257" s="4">
        <v>60</v>
      </c>
      <c r="C257" s="5">
        <v>2.94</v>
      </c>
      <c r="D257" s="4">
        <v>17</v>
      </c>
      <c r="E257" s="5">
        <v>1.72</v>
      </c>
      <c r="F257" s="4">
        <v>43</v>
      </c>
      <c r="G257" s="5">
        <v>4.1399999999999997</v>
      </c>
      <c r="H257" s="4">
        <v>0</v>
      </c>
    </row>
    <row r="258" spans="1:8" x14ac:dyDescent="0.2">
      <c r="A258" s="1" t="s">
        <v>16</v>
      </c>
      <c r="B258" s="4">
        <v>4034</v>
      </c>
      <c r="C258" s="5">
        <v>99.98</v>
      </c>
      <c r="D258" s="4">
        <v>1964</v>
      </c>
      <c r="E258" s="5">
        <v>99.990000000000009</v>
      </c>
      <c r="F258" s="4">
        <v>2030</v>
      </c>
      <c r="G258" s="5">
        <v>100.00000000000001</v>
      </c>
      <c r="H258" s="4">
        <v>2</v>
      </c>
    </row>
    <row r="259" spans="1:8" x14ac:dyDescent="0.2">
      <c r="A259" s="2" t="s">
        <v>75</v>
      </c>
      <c r="B259" s="4">
        <v>1</v>
      </c>
      <c r="C259" s="5">
        <v>0.02</v>
      </c>
      <c r="D259" s="4">
        <v>0</v>
      </c>
      <c r="E259" s="5">
        <v>0</v>
      </c>
      <c r="F259" s="4">
        <v>1</v>
      </c>
      <c r="G259" s="5">
        <v>0.05</v>
      </c>
      <c r="H259" s="4">
        <v>0</v>
      </c>
    </row>
    <row r="260" spans="1:8" x14ac:dyDescent="0.2">
      <c r="A260" s="2" t="s">
        <v>76</v>
      </c>
      <c r="B260" s="4">
        <v>596</v>
      </c>
      <c r="C260" s="5">
        <v>14.77</v>
      </c>
      <c r="D260" s="4">
        <v>158</v>
      </c>
      <c r="E260" s="5">
        <v>8.0399999999999991</v>
      </c>
      <c r="F260" s="4">
        <v>437</v>
      </c>
      <c r="G260" s="5">
        <v>21.53</v>
      </c>
      <c r="H260" s="4">
        <v>1</v>
      </c>
    </row>
    <row r="261" spans="1:8" x14ac:dyDescent="0.2">
      <c r="A261" s="2" t="s">
        <v>77</v>
      </c>
      <c r="B261" s="4">
        <v>128</v>
      </c>
      <c r="C261" s="5">
        <v>3.17</v>
      </c>
      <c r="D261" s="4">
        <v>47</v>
      </c>
      <c r="E261" s="5">
        <v>2.39</v>
      </c>
      <c r="F261" s="4">
        <v>81</v>
      </c>
      <c r="G261" s="5">
        <v>3.99</v>
      </c>
      <c r="H261" s="4">
        <v>0</v>
      </c>
    </row>
    <row r="262" spans="1:8" x14ac:dyDescent="0.2">
      <c r="A262" s="2" t="s">
        <v>78</v>
      </c>
      <c r="B262" s="4">
        <v>2</v>
      </c>
      <c r="C262" s="5">
        <v>0.05</v>
      </c>
      <c r="D262" s="4">
        <v>0</v>
      </c>
      <c r="E262" s="5">
        <v>0</v>
      </c>
      <c r="F262" s="4">
        <v>2</v>
      </c>
      <c r="G262" s="5">
        <v>0.1</v>
      </c>
      <c r="H262" s="4">
        <v>0</v>
      </c>
    </row>
    <row r="263" spans="1:8" x14ac:dyDescent="0.2">
      <c r="A263" s="2" t="s">
        <v>79</v>
      </c>
      <c r="B263" s="4">
        <v>64</v>
      </c>
      <c r="C263" s="5">
        <v>1.59</v>
      </c>
      <c r="D263" s="4">
        <v>5</v>
      </c>
      <c r="E263" s="5">
        <v>0.25</v>
      </c>
      <c r="F263" s="4">
        <v>59</v>
      </c>
      <c r="G263" s="5">
        <v>2.91</v>
      </c>
      <c r="H263" s="4">
        <v>0</v>
      </c>
    </row>
    <row r="264" spans="1:8" x14ac:dyDescent="0.2">
      <c r="A264" s="2" t="s">
        <v>80</v>
      </c>
      <c r="B264" s="4">
        <v>29</v>
      </c>
      <c r="C264" s="5">
        <v>0.72</v>
      </c>
      <c r="D264" s="4">
        <v>22</v>
      </c>
      <c r="E264" s="5">
        <v>1.1200000000000001</v>
      </c>
      <c r="F264" s="4">
        <v>7</v>
      </c>
      <c r="G264" s="5">
        <v>0.34</v>
      </c>
      <c r="H264" s="4">
        <v>0</v>
      </c>
    </row>
    <row r="265" spans="1:8" x14ac:dyDescent="0.2">
      <c r="A265" s="2" t="s">
        <v>81</v>
      </c>
      <c r="B265" s="4">
        <v>832</v>
      </c>
      <c r="C265" s="5">
        <v>20.62</v>
      </c>
      <c r="D265" s="4">
        <v>382</v>
      </c>
      <c r="E265" s="5">
        <v>19.45</v>
      </c>
      <c r="F265" s="4">
        <v>450</v>
      </c>
      <c r="G265" s="5">
        <v>22.17</v>
      </c>
      <c r="H265" s="4">
        <v>0</v>
      </c>
    </row>
    <row r="266" spans="1:8" x14ac:dyDescent="0.2">
      <c r="A266" s="2" t="s">
        <v>82</v>
      </c>
      <c r="B266" s="4">
        <v>26</v>
      </c>
      <c r="C266" s="5">
        <v>0.64</v>
      </c>
      <c r="D266" s="4">
        <v>5</v>
      </c>
      <c r="E266" s="5">
        <v>0.25</v>
      </c>
      <c r="F266" s="4">
        <v>21</v>
      </c>
      <c r="G266" s="5">
        <v>1.03</v>
      </c>
      <c r="H266" s="4">
        <v>0</v>
      </c>
    </row>
    <row r="267" spans="1:8" x14ac:dyDescent="0.2">
      <c r="A267" s="2" t="s">
        <v>83</v>
      </c>
      <c r="B267" s="4">
        <v>472</v>
      </c>
      <c r="C267" s="5">
        <v>11.7</v>
      </c>
      <c r="D267" s="4">
        <v>86</v>
      </c>
      <c r="E267" s="5">
        <v>4.38</v>
      </c>
      <c r="F267" s="4">
        <v>386</v>
      </c>
      <c r="G267" s="5">
        <v>19.010000000000002</v>
      </c>
      <c r="H267" s="4">
        <v>0</v>
      </c>
    </row>
    <row r="268" spans="1:8" x14ac:dyDescent="0.2">
      <c r="A268" s="2" t="s">
        <v>84</v>
      </c>
      <c r="B268" s="4">
        <v>287</v>
      </c>
      <c r="C268" s="5">
        <v>7.11</v>
      </c>
      <c r="D268" s="4">
        <v>117</v>
      </c>
      <c r="E268" s="5">
        <v>5.96</v>
      </c>
      <c r="F268" s="4">
        <v>169</v>
      </c>
      <c r="G268" s="5">
        <v>8.33</v>
      </c>
      <c r="H268" s="4">
        <v>1</v>
      </c>
    </row>
    <row r="269" spans="1:8" x14ac:dyDescent="0.2">
      <c r="A269" s="2" t="s">
        <v>85</v>
      </c>
      <c r="B269" s="4">
        <v>497</v>
      </c>
      <c r="C269" s="5">
        <v>12.32</v>
      </c>
      <c r="D269" s="4">
        <v>429</v>
      </c>
      <c r="E269" s="5">
        <v>21.84</v>
      </c>
      <c r="F269" s="4">
        <v>68</v>
      </c>
      <c r="G269" s="5">
        <v>3.35</v>
      </c>
      <c r="H269" s="4">
        <v>0</v>
      </c>
    </row>
    <row r="270" spans="1:8" x14ac:dyDescent="0.2">
      <c r="A270" s="2" t="s">
        <v>86</v>
      </c>
      <c r="B270" s="4">
        <v>541</v>
      </c>
      <c r="C270" s="5">
        <v>13.41</v>
      </c>
      <c r="D270" s="4">
        <v>410</v>
      </c>
      <c r="E270" s="5">
        <v>20.88</v>
      </c>
      <c r="F270" s="4">
        <v>131</v>
      </c>
      <c r="G270" s="5">
        <v>6.45</v>
      </c>
      <c r="H270" s="4">
        <v>0</v>
      </c>
    </row>
    <row r="271" spans="1:8" x14ac:dyDescent="0.2">
      <c r="A271" s="2" t="s">
        <v>87</v>
      </c>
      <c r="B271" s="4">
        <v>185</v>
      </c>
      <c r="C271" s="5">
        <v>4.59</v>
      </c>
      <c r="D271" s="4">
        <v>113</v>
      </c>
      <c r="E271" s="5">
        <v>5.75</v>
      </c>
      <c r="F271" s="4">
        <v>48</v>
      </c>
      <c r="G271" s="5">
        <v>2.36</v>
      </c>
      <c r="H271" s="4">
        <v>0</v>
      </c>
    </row>
    <row r="272" spans="1:8" x14ac:dyDescent="0.2">
      <c r="A272" s="2" t="s">
        <v>88</v>
      </c>
      <c r="B272" s="4">
        <v>259</v>
      </c>
      <c r="C272" s="5">
        <v>6.42</v>
      </c>
      <c r="D272" s="4">
        <v>162</v>
      </c>
      <c r="E272" s="5">
        <v>8.25</v>
      </c>
      <c r="F272" s="4">
        <v>83</v>
      </c>
      <c r="G272" s="5">
        <v>4.09</v>
      </c>
      <c r="H272" s="4">
        <v>0</v>
      </c>
    </row>
    <row r="273" spans="1:8" x14ac:dyDescent="0.2">
      <c r="A273" s="2" t="s">
        <v>89</v>
      </c>
      <c r="B273" s="4">
        <v>115</v>
      </c>
      <c r="C273" s="5">
        <v>2.85</v>
      </c>
      <c r="D273" s="4">
        <v>28</v>
      </c>
      <c r="E273" s="5">
        <v>1.43</v>
      </c>
      <c r="F273" s="4">
        <v>87</v>
      </c>
      <c r="G273" s="5">
        <v>4.29</v>
      </c>
      <c r="H273" s="4">
        <v>0</v>
      </c>
    </row>
    <row r="274" spans="1:8" x14ac:dyDescent="0.2">
      <c r="A274" s="1" t="s">
        <v>17</v>
      </c>
      <c r="B274" s="4">
        <v>2943</v>
      </c>
      <c r="C274" s="5">
        <v>100.02</v>
      </c>
      <c r="D274" s="4">
        <v>1843</v>
      </c>
      <c r="E274" s="5">
        <v>100.01000000000002</v>
      </c>
      <c r="F274" s="4">
        <v>1087</v>
      </c>
      <c r="G274" s="5">
        <v>100</v>
      </c>
      <c r="H274" s="4">
        <v>4</v>
      </c>
    </row>
    <row r="275" spans="1:8" x14ac:dyDescent="0.2">
      <c r="A275" s="2" t="s">
        <v>75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76</v>
      </c>
      <c r="B276" s="4">
        <v>377</v>
      </c>
      <c r="C276" s="5">
        <v>12.81</v>
      </c>
      <c r="D276" s="4">
        <v>147</v>
      </c>
      <c r="E276" s="5">
        <v>7.98</v>
      </c>
      <c r="F276" s="4">
        <v>230</v>
      </c>
      <c r="G276" s="5">
        <v>21.16</v>
      </c>
      <c r="H276" s="4">
        <v>0</v>
      </c>
    </row>
    <row r="277" spans="1:8" x14ac:dyDescent="0.2">
      <c r="A277" s="2" t="s">
        <v>77</v>
      </c>
      <c r="B277" s="4">
        <v>137</v>
      </c>
      <c r="C277" s="5">
        <v>4.66</v>
      </c>
      <c r="D277" s="4">
        <v>56</v>
      </c>
      <c r="E277" s="5">
        <v>3.04</v>
      </c>
      <c r="F277" s="4">
        <v>81</v>
      </c>
      <c r="G277" s="5">
        <v>7.45</v>
      </c>
      <c r="H277" s="4">
        <v>0</v>
      </c>
    </row>
    <row r="278" spans="1:8" x14ac:dyDescent="0.2">
      <c r="A278" s="2" t="s">
        <v>78</v>
      </c>
      <c r="B278" s="4">
        <v>7</v>
      </c>
      <c r="C278" s="5">
        <v>0.24</v>
      </c>
      <c r="D278" s="4">
        <v>0</v>
      </c>
      <c r="E278" s="5">
        <v>0</v>
      </c>
      <c r="F278" s="4">
        <v>7</v>
      </c>
      <c r="G278" s="5">
        <v>0.64</v>
      </c>
      <c r="H278" s="4">
        <v>0</v>
      </c>
    </row>
    <row r="279" spans="1:8" x14ac:dyDescent="0.2">
      <c r="A279" s="2" t="s">
        <v>79</v>
      </c>
      <c r="B279" s="4">
        <v>14</v>
      </c>
      <c r="C279" s="5">
        <v>0.48</v>
      </c>
      <c r="D279" s="4">
        <v>2</v>
      </c>
      <c r="E279" s="5">
        <v>0.11</v>
      </c>
      <c r="F279" s="4">
        <v>12</v>
      </c>
      <c r="G279" s="5">
        <v>1.1000000000000001</v>
      </c>
      <c r="H279" s="4">
        <v>0</v>
      </c>
    </row>
    <row r="280" spans="1:8" x14ac:dyDescent="0.2">
      <c r="A280" s="2" t="s">
        <v>80</v>
      </c>
      <c r="B280" s="4">
        <v>29</v>
      </c>
      <c r="C280" s="5">
        <v>0.99</v>
      </c>
      <c r="D280" s="4">
        <v>11</v>
      </c>
      <c r="E280" s="5">
        <v>0.6</v>
      </c>
      <c r="F280" s="4">
        <v>18</v>
      </c>
      <c r="G280" s="5">
        <v>1.66</v>
      </c>
      <c r="H280" s="4">
        <v>0</v>
      </c>
    </row>
    <row r="281" spans="1:8" x14ac:dyDescent="0.2">
      <c r="A281" s="2" t="s">
        <v>81</v>
      </c>
      <c r="B281" s="4">
        <v>821</v>
      </c>
      <c r="C281" s="5">
        <v>27.9</v>
      </c>
      <c r="D281" s="4">
        <v>459</v>
      </c>
      <c r="E281" s="5">
        <v>24.91</v>
      </c>
      <c r="F281" s="4">
        <v>360</v>
      </c>
      <c r="G281" s="5">
        <v>33.119999999999997</v>
      </c>
      <c r="H281" s="4">
        <v>2</v>
      </c>
    </row>
    <row r="282" spans="1:8" x14ac:dyDescent="0.2">
      <c r="A282" s="2" t="s">
        <v>82</v>
      </c>
      <c r="B282" s="4">
        <v>22</v>
      </c>
      <c r="C282" s="5">
        <v>0.75</v>
      </c>
      <c r="D282" s="4">
        <v>5</v>
      </c>
      <c r="E282" s="5">
        <v>0.27</v>
      </c>
      <c r="F282" s="4">
        <v>17</v>
      </c>
      <c r="G282" s="5">
        <v>1.56</v>
      </c>
      <c r="H282" s="4">
        <v>0</v>
      </c>
    </row>
    <row r="283" spans="1:8" x14ac:dyDescent="0.2">
      <c r="A283" s="2" t="s">
        <v>83</v>
      </c>
      <c r="B283" s="4">
        <v>214</v>
      </c>
      <c r="C283" s="5">
        <v>7.27</v>
      </c>
      <c r="D283" s="4">
        <v>108</v>
      </c>
      <c r="E283" s="5">
        <v>5.86</v>
      </c>
      <c r="F283" s="4">
        <v>106</v>
      </c>
      <c r="G283" s="5">
        <v>9.75</v>
      </c>
      <c r="H283" s="4">
        <v>0</v>
      </c>
    </row>
    <row r="284" spans="1:8" x14ac:dyDescent="0.2">
      <c r="A284" s="2" t="s">
        <v>84</v>
      </c>
      <c r="B284" s="4">
        <v>108</v>
      </c>
      <c r="C284" s="5">
        <v>3.67</v>
      </c>
      <c r="D284" s="4">
        <v>71</v>
      </c>
      <c r="E284" s="5">
        <v>3.85</v>
      </c>
      <c r="F284" s="4">
        <v>36</v>
      </c>
      <c r="G284" s="5">
        <v>3.31</v>
      </c>
      <c r="H284" s="4">
        <v>0</v>
      </c>
    </row>
    <row r="285" spans="1:8" x14ac:dyDescent="0.2">
      <c r="A285" s="2" t="s">
        <v>85</v>
      </c>
      <c r="B285" s="4">
        <v>430</v>
      </c>
      <c r="C285" s="5">
        <v>14.61</v>
      </c>
      <c r="D285" s="4">
        <v>382</v>
      </c>
      <c r="E285" s="5">
        <v>20.73</v>
      </c>
      <c r="F285" s="4">
        <v>48</v>
      </c>
      <c r="G285" s="5">
        <v>4.42</v>
      </c>
      <c r="H285" s="4">
        <v>0</v>
      </c>
    </row>
    <row r="286" spans="1:8" x14ac:dyDescent="0.2">
      <c r="A286" s="2" t="s">
        <v>86</v>
      </c>
      <c r="B286" s="4">
        <v>421</v>
      </c>
      <c r="C286" s="5">
        <v>14.31</v>
      </c>
      <c r="D286" s="4">
        <v>362</v>
      </c>
      <c r="E286" s="5">
        <v>19.64</v>
      </c>
      <c r="F286" s="4">
        <v>58</v>
      </c>
      <c r="G286" s="5">
        <v>5.34</v>
      </c>
      <c r="H286" s="4">
        <v>1</v>
      </c>
    </row>
    <row r="287" spans="1:8" x14ac:dyDescent="0.2">
      <c r="A287" s="2" t="s">
        <v>87</v>
      </c>
      <c r="B287" s="4">
        <v>104</v>
      </c>
      <c r="C287" s="5">
        <v>3.53</v>
      </c>
      <c r="D287" s="4">
        <v>76</v>
      </c>
      <c r="E287" s="5">
        <v>4.12</v>
      </c>
      <c r="F287" s="4">
        <v>20</v>
      </c>
      <c r="G287" s="5">
        <v>1.84</v>
      </c>
      <c r="H287" s="4">
        <v>0</v>
      </c>
    </row>
    <row r="288" spans="1:8" x14ac:dyDescent="0.2">
      <c r="A288" s="2" t="s">
        <v>88</v>
      </c>
      <c r="B288" s="4">
        <v>171</v>
      </c>
      <c r="C288" s="5">
        <v>5.81</v>
      </c>
      <c r="D288" s="4">
        <v>108</v>
      </c>
      <c r="E288" s="5">
        <v>5.86</v>
      </c>
      <c r="F288" s="4">
        <v>63</v>
      </c>
      <c r="G288" s="5">
        <v>5.8</v>
      </c>
      <c r="H288" s="4">
        <v>0</v>
      </c>
    </row>
    <row r="289" spans="1:8" x14ac:dyDescent="0.2">
      <c r="A289" s="2" t="s">
        <v>89</v>
      </c>
      <c r="B289" s="4">
        <v>88</v>
      </c>
      <c r="C289" s="5">
        <v>2.99</v>
      </c>
      <c r="D289" s="4">
        <v>56</v>
      </c>
      <c r="E289" s="5">
        <v>3.04</v>
      </c>
      <c r="F289" s="4">
        <v>31</v>
      </c>
      <c r="G289" s="5">
        <v>2.85</v>
      </c>
      <c r="H289" s="4">
        <v>1</v>
      </c>
    </row>
    <row r="290" spans="1:8" x14ac:dyDescent="0.2">
      <c r="A290" s="1" t="s">
        <v>18</v>
      </c>
      <c r="B290" s="4">
        <v>7192</v>
      </c>
      <c r="C290" s="5">
        <v>100</v>
      </c>
      <c r="D290" s="4">
        <v>3942</v>
      </c>
      <c r="E290" s="5">
        <v>100.00000000000001</v>
      </c>
      <c r="F290" s="4">
        <v>3215</v>
      </c>
      <c r="G290" s="5">
        <v>99.990000000000009</v>
      </c>
      <c r="H290" s="4">
        <v>15</v>
      </c>
    </row>
    <row r="291" spans="1:8" x14ac:dyDescent="0.2">
      <c r="A291" s="2" t="s">
        <v>75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2">
      <c r="A292" s="2" t="s">
        <v>76</v>
      </c>
      <c r="B292" s="4">
        <v>906</v>
      </c>
      <c r="C292" s="5">
        <v>12.6</v>
      </c>
      <c r="D292" s="4">
        <v>305</v>
      </c>
      <c r="E292" s="5">
        <v>7.74</v>
      </c>
      <c r="F292" s="4">
        <v>601</v>
      </c>
      <c r="G292" s="5">
        <v>18.690000000000001</v>
      </c>
      <c r="H292" s="4">
        <v>0</v>
      </c>
    </row>
    <row r="293" spans="1:8" x14ac:dyDescent="0.2">
      <c r="A293" s="2" t="s">
        <v>77</v>
      </c>
      <c r="B293" s="4">
        <v>487</v>
      </c>
      <c r="C293" s="5">
        <v>6.77</v>
      </c>
      <c r="D293" s="4">
        <v>231</v>
      </c>
      <c r="E293" s="5">
        <v>5.86</v>
      </c>
      <c r="F293" s="4">
        <v>256</v>
      </c>
      <c r="G293" s="5">
        <v>7.96</v>
      </c>
      <c r="H293" s="4">
        <v>0</v>
      </c>
    </row>
    <row r="294" spans="1:8" x14ac:dyDescent="0.2">
      <c r="A294" s="2" t="s">
        <v>78</v>
      </c>
      <c r="B294" s="4">
        <v>15</v>
      </c>
      <c r="C294" s="5">
        <v>0.21</v>
      </c>
      <c r="D294" s="4">
        <v>0</v>
      </c>
      <c r="E294" s="5">
        <v>0</v>
      </c>
      <c r="F294" s="4">
        <v>11</v>
      </c>
      <c r="G294" s="5">
        <v>0.34</v>
      </c>
      <c r="H294" s="4">
        <v>0</v>
      </c>
    </row>
    <row r="295" spans="1:8" x14ac:dyDescent="0.2">
      <c r="A295" s="2" t="s">
        <v>79</v>
      </c>
      <c r="B295" s="4">
        <v>41</v>
      </c>
      <c r="C295" s="5">
        <v>0.56999999999999995</v>
      </c>
      <c r="D295" s="4">
        <v>4</v>
      </c>
      <c r="E295" s="5">
        <v>0.1</v>
      </c>
      <c r="F295" s="4">
        <v>36</v>
      </c>
      <c r="G295" s="5">
        <v>1.1200000000000001</v>
      </c>
      <c r="H295" s="4">
        <v>1</v>
      </c>
    </row>
    <row r="296" spans="1:8" x14ac:dyDescent="0.2">
      <c r="A296" s="2" t="s">
        <v>80</v>
      </c>
      <c r="B296" s="4">
        <v>57</v>
      </c>
      <c r="C296" s="5">
        <v>0.79</v>
      </c>
      <c r="D296" s="4">
        <v>23</v>
      </c>
      <c r="E296" s="5">
        <v>0.57999999999999996</v>
      </c>
      <c r="F296" s="4">
        <v>34</v>
      </c>
      <c r="G296" s="5">
        <v>1.06</v>
      </c>
      <c r="H296" s="4">
        <v>0</v>
      </c>
    </row>
    <row r="297" spans="1:8" x14ac:dyDescent="0.2">
      <c r="A297" s="2" t="s">
        <v>81</v>
      </c>
      <c r="B297" s="4">
        <v>1834</v>
      </c>
      <c r="C297" s="5">
        <v>25.5</v>
      </c>
      <c r="D297" s="4">
        <v>891</v>
      </c>
      <c r="E297" s="5">
        <v>22.6</v>
      </c>
      <c r="F297" s="4">
        <v>942</v>
      </c>
      <c r="G297" s="5">
        <v>29.3</v>
      </c>
      <c r="H297" s="4">
        <v>1</v>
      </c>
    </row>
    <row r="298" spans="1:8" x14ac:dyDescent="0.2">
      <c r="A298" s="2" t="s">
        <v>82</v>
      </c>
      <c r="B298" s="4">
        <v>70</v>
      </c>
      <c r="C298" s="5">
        <v>0.97</v>
      </c>
      <c r="D298" s="4">
        <v>13</v>
      </c>
      <c r="E298" s="5">
        <v>0.33</v>
      </c>
      <c r="F298" s="4">
        <v>57</v>
      </c>
      <c r="G298" s="5">
        <v>1.77</v>
      </c>
      <c r="H298" s="4">
        <v>0</v>
      </c>
    </row>
    <row r="299" spans="1:8" x14ac:dyDescent="0.2">
      <c r="A299" s="2" t="s">
        <v>83</v>
      </c>
      <c r="B299" s="4">
        <v>624</v>
      </c>
      <c r="C299" s="5">
        <v>8.68</v>
      </c>
      <c r="D299" s="4">
        <v>215</v>
      </c>
      <c r="E299" s="5">
        <v>5.45</v>
      </c>
      <c r="F299" s="4">
        <v>407</v>
      </c>
      <c r="G299" s="5">
        <v>12.66</v>
      </c>
      <c r="H299" s="4">
        <v>1</v>
      </c>
    </row>
    <row r="300" spans="1:8" x14ac:dyDescent="0.2">
      <c r="A300" s="2" t="s">
        <v>84</v>
      </c>
      <c r="B300" s="4">
        <v>408</v>
      </c>
      <c r="C300" s="5">
        <v>5.67</v>
      </c>
      <c r="D300" s="4">
        <v>249</v>
      </c>
      <c r="E300" s="5">
        <v>6.32</v>
      </c>
      <c r="F300" s="4">
        <v>153</v>
      </c>
      <c r="G300" s="5">
        <v>4.76</v>
      </c>
      <c r="H300" s="4">
        <v>4</v>
      </c>
    </row>
    <row r="301" spans="1:8" x14ac:dyDescent="0.2">
      <c r="A301" s="2" t="s">
        <v>85</v>
      </c>
      <c r="B301" s="4">
        <v>900</v>
      </c>
      <c r="C301" s="5">
        <v>12.51</v>
      </c>
      <c r="D301" s="4">
        <v>747</v>
      </c>
      <c r="E301" s="5">
        <v>18.95</v>
      </c>
      <c r="F301" s="4">
        <v>153</v>
      </c>
      <c r="G301" s="5">
        <v>4.76</v>
      </c>
      <c r="H301" s="4">
        <v>0</v>
      </c>
    </row>
    <row r="302" spans="1:8" x14ac:dyDescent="0.2">
      <c r="A302" s="2" t="s">
        <v>86</v>
      </c>
      <c r="B302" s="4">
        <v>909</v>
      </c>
      <c r="C302" s="5">
        <v>12.64</v>
      </c>
      <c r="D302" s="4">
        <v>726</v>
      </c>
      <c r="E302" s="5">
        <v>18.420000000000002</v>
      </c>
      <c r="F302" s="4">
        <v>182</v>
      </c>
      <c r="G302" s="5">
        <v>5.66</v>
      </c>
      <c r="H302" s="4">
        <v>1</v>
      </c>
    </row>
    <row r="303" spans="1:8" x14ac:dyDescent="0.2">
      <c r="A303" s="2" t="s">
        <v>87</v>
      </c>
      <c r="B303" s="4">
        <v>222</v>
      </c>
      <c r="C303" s="5">
        <v>3.09</v>
      </c>
      <c r="D303" s="4">
        <v>164</v>
      </c>
      <c r="E303" s="5">
        <v>4.16</v>
      </c>
      <c r="F303" s="4">
        <v>54</v>
      </c>
      <c r="G303" s="5">
        <v>1.68</v>
      </c>
      <c r="H303" s="4">
        <v>2</v>
      </c>
    </row>
    <row r="304" spans="1:8" x14ac:dyDescent="0.2">
      <c r="A304" s="2" t="s">
        <v>88</v>
      </c>
      <c r="B304" s="4">
        <v>405</v>
      </c>
      <c r="C304" s="5">
        <v>5.63</v>
      </c>
      <c r="D304" s="4">
        <v>229</v>
      </c>
      <c r="E304" s="5">
        <v>5.81</v>
      </c>
      <c r="F304" s="4">
        <v>164</v>
      </c>
      <c r="G304" s="5">
        <v>5.0999999999999996</v>
      </c>
      <c r="H304" s="4">
        <v>2</v>
      </c>
    </row>
    <row r="305" spans="1:8" x14ac:dyDescent="0.2">
      <c r="A305" s="2" t="s">
        <v>89</v>
      </c>
      <c r="B305" s="4">
        <v>314</v>
      </c>
      <c r="C305" s="5">
        <v>4.37</v>
      </c>
      <c r="D305" s="4">
        <v>145</v>
      </c>
      <c r="E305" s="5">
        <v>3.68</v>
      </c>
      <c r="F305" s="4">
        <v>165</v>
      </c>
      <c r="G305" s="5">
        <v>5.13</v>
      </c>
      <c r="H305" s="4">
        <v>3</v>
      </c>
    </row>
    <row r="306" spans="1:8" x14ac:dyDescent="0.2">
      <c r="A306" s="1" t="s">
        <v>19</v>
      </c>
      <c r="B306" s="4">
        <v>1405</v>
      </c>
      <c r="C306" s="5">
        <v>99.99</v>
      </c>
      <c r="D306" s="4">
        <v>721</v>
      </c>
      <c r="E306" s="5">
        <v>99.999999999999986</v>
      </c>
      <c r="F306" s="4">
        <v>674</v>
      </c>
      <c r="G306" s="5">
        <v>100.01</v>
      </c>
      <c r="H306" s="4">
        <v>2</v>
      </c>
    </row>
    <row r="307" spans="1:8" x14ac:dyDescent="0.2">
      <c r="A307" s="2" t="s">
        <v>75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2">
      <c r="A308" s="2" t="s">
        <v>76</v>
      </c>
      <c r="B308" s="4">
        <v>185</v>
      </c>
      <c r="C308" s="5">
        <v>13.17</v>
      </c>
      <c r="D308" s="4">
        <v>50</v>
      </c>
      <c r="E308" s="5">
        <v>6.93</v>
      </c>
      <c r="F308" s="4">
        <v>135</v>
      </c>
      <c r="G308" s="5">
        <v>20.03</v>
      </c>
      <c r="H308" s="4">
        <v>0</v>
      </c>
    </row>
    <row r="309" spans="1:8" x14ac:dyDescent="0.2">
      <c r="A309" s="2" t="s">
        <v>77</v>
      </c>
      <c r="B309" s="4">
        <v>171</v>
      </c>
      <c r="C309" s="5">
        <v>12.17</v>
      </c>
      <c r="D309" s="4">
        <v>70</v>
      </c>
      <c r="E309" s="5">
        <v>9.7100000000000009</v>
      </c>
      <c r="F309" s="4">
        <v>101</v>
      </c>
      <c r="G309" s="5">
        <v>14.99</v>
      </c>
      <c r="H309" s="4">
        <v>0</v>
      </c>
    </row>
    <row r="310" spans="1:8" x14ac:dyDescent="0.2">
      <c r="A310" s="2" t="s">
        <v>78</v>
      </c>
      <c r="B310" s="4">
        <v>4</v>
      </c>
      <c r="C310" s="5">
        <v>0.28000000000000003</v>
      </c>
      <c r="D310" s="4">
        <v>0</v>
      </c>
      <c r="E310" s="5">
        <v>0</v>
      </c>
      <c r="F310" s="4">
        <v>3</v>
      </c>
      <c r="G310" s="5">
        <v>0.45</v>
      </c>
      <c r="H310" s="4">
        <v>0</v>
      </c>
    </row>
    <row r="311" spans="1:8" x14ac:dyDescent="0.2">
      <c r="A311" s="2" t="s">
        <v>79</v>
      </c>
      <c r="B311" s="4">
        <v>8</v>
      </c>
      <c r="C311" s="5">
        <v>0.56999999999999995</v>
      </c>
      <c r="D311" s="4">
        <v>1</v>
      </c>
      <c r="E311" s="5">
        <v>0.14000000000000001</v>
      </c>
      <c r="F311" s="4">
        <v>7</v>
      </c>
      <c r="G311" s="5">
        <v>1.04</v>
      </c>
      <c r="H311" s="4">
        <v>0</v>
      </c>
    </row>
    <row r="312" spans="1:8" x14ac:dyDescent="0.2">
      <c r="A312" s="2" t="s">
        <v>80</v>
      </c>
      <c r="B312" s="4">
        <v>4</v>
      </c>
      <c r="C312" s="5">
        <v>0.28000000000000003</v>
      </c>
      <c r="D312" s="4">
        <v>1</v>
      </c>
      <c r="E312" s="5">
        <v>0.14000000000000001</v>
      </c>
      <c r="F312" s="4">
        <v>3</v>
      </c>
      <c r="G312" s="5">
        <v>0.45</v>
      </c>
      <c r="H312" s="4">
        <v>0</v>
      </c>
    </row>
    <row r="313" spans="1:8" x14ac:dyDescent="0.2">
      <c r="A313" s="2" t="s">
        <v>81</v>
      </c>
      <c r="B313" s="4">
        <v>404</v>
      </c>
      <c r="C313" s="5">
        <v>28.75</v>
      </c>
      <c r="D313" s="4">
        <v>191</v>
      </c>
      <c r="E313" s="5">
        <v>26.49</v>
      </c>
      <c r="F313" s="4">
        <v>213</v>
      </c>
      <c r="G313" s="5">
        <v>31.6</v>
      </c>
      <c r="H313" s="4">
        <v>0</v>
      </c>
    </row>
    <row r="314" spans="1:8" x14ac:dyDescent="0.2">
      <c r="A314" s="2" t="s">
        <v>82</v>
      </c>
      <c r="B314" s="4">
        <v>11</v>
      </c>
      <c r="C314" s="5">
        <v>0.78</v>
      </c>
      <c r="D314" s="4">
        <v>2</v>
      </c>
      <c r="E314" s="5">
        <v>0.28000000000000003</v>
      </c>
      <c r="F314" s="4">
        <v>9</v>
      </c>
      <c r="G314" s="5">
        <v>1.34</v>
      </c>
      <c r="H314" s="4">
        <v>0</v>
      </c>
    </row>
    <row r="315" spans="1:8" x14ac:dyDescent="0.2">
      <c r="A315" s="2" t="s">
        <v>83</v>
      </c>
      <c r="B315" s="4">
        <v>81</v>
      </c>
      <c r="C315" s="5">
        <v>5.77</v>
      </c>
      <c r="D315" s="4">
        <v>13</v>
      </c>
      <c r="E315" s="5">
        <v>1.8</v>
      </c>
      <c r="F315" s="4">
        <v>67</v>
      </c>
      <c r="G315" s="5">
        <v>9.94</v>
      </c>
      <c r="H315" s="4">
        <v>0</v>
      </c>
    </row>
    <row r="316" spans="1:8" x14ac:dyDescent="0.2">
      <c r="A316" s="2" t="s">
        <v>84</v>
      </c>
      <c r="B316" s="4">
        <v>59</v>
      </c>
      <c r="C316" s="5">
        <v>4.2</v>
      </c>
      <c r="D316" s="4">
        <v>33</v>
      </c>
      <c r="E316" s="5">
        <v>4.58</v>
      </c>
      <c r="F316" s="4">
        <v>24</v>
      </c>
      <c r="G316" s="5">
        <v>3.56</v>
      </c>
      <c r="H316" s="4">
        <v>0</v>
      </c>
    </row>
    <row r="317" spans="1:8" x14ac:dyDescent="0.2">
      <c r="A317" s="2" t="s">
        <v>85</v>
      </c>
      <c r="B317" s="4">
        <v>151</v>
      </c>
      <c r="C317" s="5">
        <v>10.75</v>
      </c>
      <c r="D317" s="4">
        <v>132</v>
      </c>
      <c r="E317" s="5">
        <v>18.309999999999999</v>
      </c>
      <c r="F317" s="4">
        <v>19</v>
      </c>
      <c r="G317" s="5">
        <v>2.82</v>
      </c>
      <c r="H317" s="4">
        <v>0</v>
      </c>
    </row>
    <row r="318" spans="1:8" x14ac:dyDescent="0.2">
      <c r="A318" s="2" t="s">
        <v>86</v>
      </c>
      <c r="B318" s="4">
        <v>178</v>
      </c>
      <c r="C318" s="5">
        <v>12.67</v>
      </c>
      <c r="D318" s="4">
        <v>145</v>
      </c>
      <c r="E318" s="5">
        <v>20.11</v>
      </c>
      <c r="F318" s="4">
        <v>31</v>
      </c>
      <c r="G318" s="5">
        <v>4.5999999999999996</v>
      </c>
      <c r="H318" s="4">
        <v>1</v>
      </c>
    </row>
    <row r="319" spans="1:8" x14ac:dyDescent="0.2">
      <c r="A319" s="2" t="s">
        <v>87</v>
      </c>
      <c r="B319" s="4">
        <v>28</v>
      </c>
      <c r="C319" s="5">
        <v>1.99</v>
      </c>
      <c r="D319" s="4">
        <v>15</v>
      </c>
      <c r="E319" s="5">
        <v>2.08</v>
      </c>
      <c r="F319" s="4">
        <v>12</v>
      </c>
      <c r="G319" s="5">
        <v>1.78</v>
      </c>
      <c r="H319" s="4">
        <v>0</v>
      </c>
    </row>
    <row r="320" spans="1:8" x14ac:dyDescent="0.2">
      <c r="A320" s="2" t="s">
        <v>88</v>
      </c>
      <c r="B320" s="4">
        <v>75</v>
      </c>
      <c r="C320" s="5">
        <v>5.34</v>
      </c>
      <c r="D320" s="4">
        <v>45</v>
      </c>
      <c r="E320" s="5">
        <v>6.24</v>
      </c>
      <c r="F320" s="4">
        <v>28</v>
      </c>
      <c r="G320" s="5">
        <v>4.1500000000000004</v>
      </c>
      <c r="H320" s="4">
        <v>1</v>
      </c>
    </row>
    <row r="321" spans="1:8" x14ac:dyDescent="0.2">
      <c r="A321" s="2" t="s">
        <v>89</v>
      </c>
      <c r="B321" s="4">
        <v>46</v>
      </c>
      <c r="C321" s="5">
        <v>3.27</v>
      </c>
      <c r="D321" s="4">
        <v>23</v>
      </c>
      <c r="E321" s="5">
        <v>3.19</v>
      </c>
      <c r="F321" s="4">
        <v>22</v>
      </c>
      <c r="G321" s="5">
        <v>3.26</v>
      </c>
      <c r="H321" s="4">
        <v>0</v>
      </c>
    </row>
    <row r="322" spans="1:8" x14ac:dyDescent="0.2">
      <c r="A322" s="1" t="s">
        <v>20</v>
      </c>
      <c r="B322" s="4">
        <v>2861</v>
      </c>
      <c r="C322" s="5">
        <v>99.969999999999985</v>
      </c>
      <c r="D322" s="4">
        <v>1593</v>
      </c>
      <c r="E322" s="5">
        <v>99.990000000000009</v>
      </c>
      <c r="F322" s="4">
        <v>1247</v>
      </c>
      <c r="G322" s="5">
        <v>99.97999999999999</v>
      </c>
      <c r="H322" s="4">
        <v>2</v>
      </c>
    </row>
    <row r="323" spans="1:8" x14ac:dyDescent="0.2">
      <c r="A323" s="2" t="s">
        <v>75</v>
      </c>
      <c r="B323" s="4">
        <v>1</v>
      </c>
      <c r="C323" s="5">
        <v>0.03</v>
      </c>
      <c r="D323" s="4">
        <v>0</v>
      </c>
      <c r="E323" s="5">
        <v>0</v>
      </c>
      <c r="F323" s="4">
        <v>1</v>
      </c>
      <c r="G323" s="5">
        <v>0.08</v>
      </c>
      <c r="H323" s="4">
        <v>0</v>
      </c>
    </row>
    <row r="324" spans="1:8" x14ac:dyDescent="0.2">
      <c r="A324" s="2" t="s">
        <v>76</v>
      </c>
      <c r="B324" s="4">
        <v>396</v>
      </c>
      <c r="C324" s="5">
        <v>13.84</v>
      </c>
      <c r="D324" s="4">
        <v>104</v>
      </c>
      <c r="E324" s="5">
        <v>6.53</v>
      </c>
      <c r="F324" s="4">
        <v>292</v>
      </c>
      <c r="G324" s="5">
        <v>23.42</v>
      </c>
      <c r="H324" s="4">
        <v>0</v>
      </c>
    </row>
    <row r="325" spans="1:8" x14ac:dyDescent="0.2">
      <c r="A325" s="2" t="s">
        <v>77</v>
      </c>
      <c r="B325" s="4">
        <v>170</v>
      </c>
      <c r="C325" s="5">
        <v>5.94</v>
      </c>
      <c r="D325" s="4">
        <v>62</v>
      </c>
      <c r="E325" s="5">
        <v>3.89</v>
      </c>
      <c r="F325" s="4">
        <v>108</v>
      </c>
      <c r="G325" s="5">
        <v>8.66</v>
      </c>
      <c r="H325" s="4">
        <v>0</v>
      </c>
    </row>
    <row r="326" spans="1:8" x14ac:dyDescent="0.2">
      <c r="A326" s="2" t="s">
        <v>78</v>
      </c>
      <c r="B326" s="4">
        <v>6</v>
      </c>
      <c r="C326" s="5">
        <v>0.21</v>
      </c>
      <c r="D326" s="4">
        <v>0</v>
      </c>
      <c r="E326" s="5">
        <v>0</v>
      </c>
      <c r="F326" s="4">
        <v>6</v>
      </c>
      <c r="G326" s="5">
        <v>0.48</v>
      </c>
      <c r="H326" s="4">
        <v>0</v>
      </c>
    </row>
    <row r="327" spans="1:8" x14ac:dyDescent="0.2">
      <c r="A327" s="2" t="s">
        <v>79</v>
      </c>
      <c r="B327" s="4">
        <v>13</v>
      </c>
      <c r="C327" s="5">
        <v>0.45</v>
      </c>
      <c r="D327" s="4">
        <v>1</v>
      </c>
      <c r="E327" s="5">
        <v>0.06</v>
      </c>
      <c r="F327" s="4">
        <v>12</v>
      </c>
      <c r="G327" s="5">
        <v>0.96</v>
      </c>
      <c r="H327" s="4">
        <v>0</v>
      </c>
    </row>
    <row r="328" spans="1:8" x14ac:dyDescent="0.2">
      <c r="A328" s="2" t="s">
        <v>80</v>
      </c>
      <c r="B328" s="4">
        <v>21</v>
      </c>
      <c r="C328" s="5">
        <v>0.73</v>
      </c>
      <c r="D328" s="4">
        <v>5</v>
      </c>
      <c r="E328" s="5">
        <v>0.31</v>
      </c>
      <c r="F328" s="4">
        <v>16</v>
      </c>
      <c r="G328" s="5">
        <v>1.28</v>
      </c>
      <c r="H328" s="4">
        <v>0</v>
      </c>
    </row>
    <row r="329" spans="1:8" x14ac:dyDescent="0.2">
      <c r="A329" s="2" t="s">
        <v>81</v>
      </c>
      <c r="B329" s="4">
        <v>754</v>
      </c>
      <c r="C329" s="5">
        <v>26.35</v>
      </c>
      <c r="D329" s="4">
        <v>402</v>
      </c>
      <c r="E329" s="5">
        <v>25.24</v>
      </c>
      <c r="F329" s="4">
        <v>351</v>
      </c>
      <c r="G329" s="5">
        <v>28.15</v>
      </c>
      <c r="H329" s="4">
        <v>1</v>
      </c>
    </row>
    <row r="330" spans="1:8" x14ac:dyDescent="0.2">
      <c r="A330" s="2" t="s">
        <v>82</v>
      </c>
      <c r="B330" s="4">
        <v>25</v>
      </c>
      <c r="C330" s="5">
        <v>0.87</v>
      </c>
      <c r="D330" s="4">
        <v>8</v>
      </c>
      <c r="E330" s="5">
        <v>0.5</v>
      </c>
      <c r="F330" s="4">
        <v>17</v>
      </c>
      <c r="G330" s="5">
        <v>1.36</v>
      </c>
      <c r="H330" s="4">
        <v>0</v>
      </c>
    </row>
    <row r="331" spans="1:8" x14ac:dyDescent="0.2">
      <c r="A331" s="2" t="s">
        <v>83</v>
      </c>
      <c r="B331" s="4">
        <v>179</v>
      </c>
      <c r="C331" s="5">
        <v>6.26</v>
      </c>
      <c r="D331" s="4">
        <v>52</v>
      </c>
      <c r="E331" s="5">
        <v>3.26</v>
      </c>
      <c r="F331" s="4">
        <v>127</v>
      </c>
      <c r="G331" s="5">
        <v>10.18</v>
      </c>
      <c r="H331" s="4">
        <v>0</v>
      </c>
    </row>
    <row r="332" spans="1:8" x14ac:dyDescent="0.2">
      <c r="A332" s="2" t="s">
        <v>84</v>
      </c>
      <c r="B332" s="4">
        <v>122</v>
      </c>
      <c r="C332" s="5">
        <v>4.26</v>
      </c>
      <c r="D332" s="4">
        <v>75</v>
      </c>
      <c r="E332" s="5">
        <v>4.71</v>
      </c>
      <c r="F332" s="4">
        <v>46</v>
      </c>
      <c r="G332" s="5">
        <v>3.69</v>
      </c>
      <c r="H332" s="4">
        <v>0</v>
      </c>
    </row>
    <row r="333" spans="1:8" x14ac:dyDescent="0.2">
      <c r="A333" s="2" t="s">
        <v>85</v>
      </c>
      <c r="B333" s="4">
        <v>389</v>
      </c>
      <c r="C333" s="5">
        <v>13.6</v>
      </c>
      <c r="D333" s="4">
        <v>333</v>
      </c>
      <c r="E333" s="5">
        <v>20.9</v>
      </c>
      <c r="F333" s="4">
        <v>56</v>
      </c>
      <c r="G333" s="5">
        <v>4.49</v>
      </c>
      <c r="H333" s="4">
        <v>0</v>
      </c>
    </row>
    <row r="334" spans="1:8" x14ac:dyDescent="0.2">
      <c r="A334" s="2" t="s">
        <v>86</v>
      </c>
      <c r="B334" s="4">
        <v>425</v>
      </c>
      <c r="C334" s="5">
        <v>14.85</v>
      </c>
      <c r="D334" s="4">
        <v>351</v>
      </c>
      <c r="E334" s="5">
        <v>22.03</v>
      </c>
      <c r="F334" s="4">
        <v>73</v>
      </c>
      <c r="G334" s="5">
        <v>5.85</v>
      </c>
      <c r="H334" s="4">
        <v>1</v>
      </c>
    </row>
    <row r="335" spans="1:8" x14ac:dyDescent="0.2">
      <c r="A335" s="2" t="s">
        <v>87</v>
      </c>
      <c r="B335" s="4">
        <v>74</v>
      </c>
      <c r="C335" s="5">
        <v>2.59</v>
      </c>
      <c r="D335" s="4">
        <v>43</v>
      </c>
      <c r="E335" s="5">
        <v>2.7</v>
      </c>
      <c r="F335" s="4">
        <v>21</v>
      </c>
      <c r="G335" s="5">
        <v>1.68</v>
      </c>
      <c r="H335" s="4">
        <v>0</v>
      </c>
    </row>
    <row r="336" spans="1:8" x14ac:dyDescent="0.2">
      <c r="A336" s="2" t="s">
        <v>88</v>
      </c>
      <c r="B336" s="4">
        <v>162</v>
      </c>
      <c r="C336" s="5">
        <v>5.66</v>
      </c>
      <c r="D336" s="4">
        <v>93</v>
      </c>
      <c r="E336" s="5">
        <v>5.84</v>
      </c>
      <c r="F336" s="4">
        <v>67</v>
      </c>
      <c r="G336" s="5">
        <v>5.37</v>
      </c>
      <c r="H336" s="4">
        <v>0</v>
      </c>
    </row>
    <row r="337" spans="1:8" x14ac:dyDescent="0.2">
      <c r="A337" s="2" t="s">
        <v>89</v>
      </c>
      <c r="B337" s="4">
        <v>124</v>
      </c>
      <c r="C337" s="5">
        <v>4.33</v>
      </c>
      <c r="D337" s="4">
        <v>64</v>
      </c>
      <c r="E337" s="5">
        <v>4.0199999999999996</v>
      </c>
      <c r="F337" s="4">
        <v>54</v>
      </c>
      <c r="G337" s="5">
        <v>4.33</v>
      </c>
      <c r="H337" s="4">
        <v>0</v>
      </c>
    </row>
    <row r="338" spans="1:8" x14ac:dyDescent="0.2">
      <c r="A338" s="1" t="s">
        <v>21</v>
      </c>
      <c r="B338" s="4">
        <v>1251</v>
      </c>
      <c r="C338" s="5">
        <v>100.02</v>
      </c>
      <c r="D338" s="4">
        <v>796</v>
      </c>
      <c r="E338" s="5">
        <v>100.01</v>
      </c>
      <c r="F338" s="4">
        <v>444</v>
      </c>
      <c r="G338" s="5">
        <v>100.01</v>
      </c>
      <c r="H338" s="4">
        <v>3</v>
      </c>
    </row>
    <row r="339" spans="1:8" x14ac:dyDescent="0.2">
      <c r="A339" s="2" t="s">
        <v>75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2">
      <c r="A340" s="2" t="s">
        <v>76</v>
      </c>
      <c r="B340" s="4">
        <v>131</v>
      </c>
      <c r="C340" s="5">
        <v>10.47</v>
      </c>
      <c r="D340" s="4">
        <v>39</v>
      </c>
      <c r="E340" s="5">
        <v>4.9000000000000004</v>
      </c>
      <c r="F340" s="4">
        <v>92</v>
      </c>
      <c r="G340" s="5">
        <v>20.72</v>
      </c>
      <c r="H340" s="4">
        <v>0</v>
      </c>
    </row>
    <row r="341" spans="1:8" x14ac:dyDescent="0.2">
      <c r="A341" s="2" t="s">
        <v>77</v>
      </c>
      <c r="B341" s="4">
        <v>63</v>
      </c>
      <c r="C341" s="5">
        <v>5.04</v>
      </c>
      <c r="D341" s="4">
        <v>30</v>
      </c>
      <c r="E341" s="5">
        <v>3.77</v>
      </c>
      <c r="F341" s="4">
        <v>33</v>
      </c>
      <c r="G341" s="5">
        <v>7.43</v>
      </c>
      <c r="H341" s="4">
        <v>0</v>
      </c>
    </row>
    <row r="342" spans="1:8" x14ac:dyDescent="0.2">
      <c r="A342" s="2" t="s">
        <v>78</v>
      </c>
      <c r="B342" s="4">
        <v>8</v>
      </c>
      <c r="C342" s="5">
        <v>0.64</v>
      </c>
      <c r="D342" s="4">
        <v>0</v>
      </c>
      <c r="E342" s="5">
        <v>0</v>
      </c>
      <c r="F342" s="4">
        <v>7</v>
      </c>
      <c r="G342" s="5">
        <v>1.58</v>
      </c>
      <c r="H342" s="4">
        <v>0</v>
      </c>
    </row>
    <row r="343" spans="1:8" x14ac:dyDescent="0.2">
      <c r="A343" s="2" t="s">
        <v>79</v>
      </c>
      <c r="B343" s="4">
        <v>7</v>
      </c>
      <c r="C343" s="5">
        <v>0.56000000000000005</v>
      </c>
      <c r="D343" s="4">
        <v>0</v>
      </c>
      <c r="E343" s="5">
        <v>0</v>
      </c>
      <c r="F343" s="4">
        <v>7</v>
      </c>
      <c r="G343" s="5">
        <v>1.58</v>
      </c>
      <c r="H343" s="4">
        <v>0</v>
      </c>
    </row>
    <row r="344" spans="1:8" x14ac:dyDescent="0.2">
      <c r="A344" s="2" t="s">
        <v>80</v>
      </c>
      <c r="B344" s="4">
        <v>7</v>
      </c>
      <c r="C344" s="5">
        <v>0.56000000000000005</v>
      </c>
      <c r="D344" s="4">
        <v>2</v>
      </c>
      <c r="E344" s="5">
        <v>0.25</v>
      </c>
      <c r="F344" s="4">
        <v>5</v>
      </c>
      <c r="G344" s="5">
        <v>1.1299999999999999</v>
      </c>
      <c r="H344" s="4">
        <v>0</v>
      </c>
    </row>
    <row r="345" spans="1:8" x14ac:dyDescent="0.2">
      <c r="A345" s="2" t="s">
        <v>81</v>
      </c>
      <c r="B345" s="4">
        <v>345</v>
      </c>
      <c r="C345" s="5">
        <v>27.58</v>
      </c>
      <c r="D345" s="4">
        <v>222</v>
      </c>
      <c r="E345" s="5">
        <v>27.89</v>
      </c>
      <c r="F345" s="4">
        <v>123</v>
      </c>
      <c r="G345" s="5">
        <v>27.7</v>
      </c>
      <c r="H345" s="4">
        <v>0</v>
      </c>
    </row>
    <row r="346" spans="1:8" x14ac:dyDescent="0.2">
      <c r="A346" s="2" t="s">
        <v>82</v>
      </c>
      <c r="B346" s="4">
        <v>9</v>
      </c>
      <c r="C346" s="5">
        <v>0.72</v>
      </c>
      <c r="D346" s="4">
        <v>3</v>
      </c>
      <c r="E346" s="5">
        <v>0.38</v>
      </c>
      <c r="F346" s="4">
        <v>6</v>
      </c>
      <c r="G346" s="5">
        <v>1.35</v>
      </c>
      <c r="H346" s="4">
        <v>0</v>
      </c>
    </row>
    <row r="347" spans="1:8" x14ac:dyDescent="0.2">
      <c r="A347" s="2" t="s">
        <v>83</v>
      </c>
      <c r="B347" s="4">
        <v>61</v>
      </c>
      <c r="C347" s="5">
        <v>4.88</v>
      </c>
      <c r="D347" s="4">
        <v>19</v>
      </c>
      <c r="E347" s="5">
        <v>2.39</v>
      </c>
      <c r="F347" s="4">
        <v>42</v>
      </c>
      <c r="G347" s="5">
        <v>9.4600000000000009</v>
      </c>
      <c r="H347" s="4">
        <v>0</v>
      </c>
    </row>
    <row r="348" spans="1:8" x14ac:dyDescent="0.2">
      <c r="A348" s="2" t="s">
        <v>84</v>
      </c>
      <c r="B348" s="4">
        <v>55</v>
      </c>
      <c r="C348" s="5">
        <v>4.4000000000000004</v>
      </c>
      <c r="D348" s="4">
        <v>32</v>
      </c>
      <c r="E348" s="5">
        <v>4.0199999999999996</v>
      </c>
      <c r="F348" s="4">
        <v>22</v>
      </c>
      <c r="G348" s="5">
        <v>4.95</v>
      </c>
      <c r="H348" s="4">
        <v>0</v>
      </c>
    </row>
    <row r="349" spans="1:8" x14ac:dyDescent="0.2">
      <c r="A349" s="2" t="s">
        <v>85</v>
      </c>
      <c r="B349" s="4">
        <v>188</v>
      </c>
      <c r="C349" s="5">
        <v>15.03</v>
      </c>
      <c r="D349" s="4">
        <v>174</v>
      </c>
      <c r="E349" s="5">
        <v>21.86</v>
      </c>
      <c r="F349" s="4">
        <v>14</v>
      </c>
      <c r="G349" s="5">
        <v>3.15</v>
      </c>
      <c r="H349" s="4">
        <v>0</v>
      </c>
    </row>
    <row r="350" spans="1:8" x14ac:dyDescent="0.2">
      <c r="A350" s="2" t="s">
        <v>86</v>
      </c>
      <c r="B350" s="4">
        <v>205</v>
      </c>
      <c r="C350" s="5">
        <v>16.39</v>
      </c>
      <c r="D350" s="4">
        <v>180</v>
      </c>
      <c r="E350" s="5">
        <v>22.61</v>
      </c>
      <c r="F350" s="4">
        <v>24</v>
      </c>
      <c r="G350" s="5">
        <v>5.41</v>
      </c>
      <c r="H350" s="4">
        <v>1</v>
      </c>
    </row>
    <row r="351" spans="1:8" x14ac:dyDescent="0.2">
      <c r="A351" s="2" t="s">
        <v>87</v>
      </c>
      <c r="B351" s="4">
        <v>35</v>
      </c>
      <c r="C351" s="5">
        <v>2.8</v>
      </c>
      <c r="D351" s="4">
        <v>28</v>
      </c>
      <c r="E351" s="5">
        <v>3.52</v>
      </c>
      <c r="F351" s="4">
        <v>7</v>
      </c>
      <c r="G351" s="5">
        <v>1.58</v>
      </c>
      <c r="H351" s="4">
        <v>0</v>
      </c>
    </row>
    <row r="352" spans="1:8" x14ac:dyDescent="0.2">
      <c r="A352" s="2" t="s">
        <v>88</v>
      </c>
      <c r="B352" s="4">
        <v>80</v>
      </c>
      <c r="C352" s="5">
        <v>6.39</v>
      </c>
      <c r="D352" s="4">
        <v>35</v>
      </c>
      <c r="E352" s="5">
        <v>4.4000000000000004</v>
      </c>
      <c r="F352" s="4">
        <v>38</v>
      </c>
      <c r="G352" s="5">
        <v>8.56</v>
      </c>
      <c r="H352" s="4">
        <v>1</v>
      </c>
    </row>
    <row r="353" spans="1:8" x14ac:dyDescent="0.2">
      <c r="A353" s="2" t="s">
        <v>89</v>
      </c>
      <c r="B353" s="4">
        <v>57</v>
      </c>
      <c r="C353" s="5">
        <v>4.5599999999999996</v>
      </c>
      <c r="D353" s="4">
        <v>32</v>
      </c>
      <c r="E353" s="5">
        <v>4.0199999999999996</v>
      </c>
      <c r="F353" s="4">
        <v>24</v>
      </c>
      <c r="G353" s="5">
        <v>5.41</v>
      </c>
      <c r="H353" s="4">
        <v>1</v>
      </c>
    </row>
    <row r="354" spans="1:8" x14ac:dyDescent="0.2">
      <c r="A354" s="1" t="s">
        <v>22</v>
      </c>
      <c r="B354" s="4">
        <v>1654</v>
      </c>
      <c r="C354" s="5">
        <v>99.99</v>
      </c>
      <c r="D354" s="4">
        <v>1058</v>
      </c>
      <c r="E354" s="5">
        <v>99.98</v>
      </c>
      <c r="F354" s="4">
        <v>567</v>
      </c>
      <c r="G354" s="5">
        <v>99.999999999999986</v>
      </c>
      <c r="H354" s="4">
        <v>1</v>
      </c>
    </row>
    <row r="355" spans="1:8" x14ac:dyDescent="0.2">
      <c r="A355" s="2" t="s">
        <v>75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2">
      <c r="A356" s="2" t="s">
        <v>76</v>
      </c>
      <c r="B356" s="4">
        <v>223</v>
      </c>
      <c r="C356" s="5">
        <v>13.48</v>
      </c>
      <c r="D356" s="4">
        <v>106</v>
      </c>
      <c r="E356" s="5">
        <v>10.02</v>
      </c>
      <c r="F356" s="4">
        <v>117</v>
      </c>
      <c r="G356" s="5">
        <v>20.63</v>
      </c>
      <c r="H356" s="4">
        <v>0</v>
      </c>
    </row>
    <row r="357" spans="1:8" x14ac:dyDescent="0.2">
      <c r="A357" s="2" t="s">
        <v>77</v>
      </c>
      <c r="B357" s="4">
        <v>216</v>
      </c>
      <c r="C357" s="5">
        <v>13.06</v>
      </c>
      <c r="D357" s="4">
        <v>125</v>
      </c>
      <c r="E357" s="5">
        <v>11.81</v>
      </c>
      <c r="F357" s="4">
        <v>91</v>
      </c>
      <c r="G357" s="5">
        <v>16.05</v>
      </c>
      <c r="H357" s="4">
        <v>0</v>
      </c>
    </row>
    <row r="358" spans="1:8" x14ac:dyDescent="0.2">
      <c r="A358" s="2" t="s">
        <v>78</v>
      </c>
      <c r="B358" s="4">
        <v>1</v>
      </c>
      <c r="C358" s="5">
        <v>0.06</v>
      </c>
      <c r="D358" s="4">
        <v>1</v>
      </c>
      <c r="E358" s="5">
        <v>0.09</v>
      </c>
      <c r="F358" s="4">
        <v>0</v>
      </c>
      <c r="G358" s="5">
        <v>0</v>
      </c>
      <c r="H358" s="4">
        <v>0</v>
      </c>
    </row>
    <row r="359" spans="1:8" x14ac:dyDescent="0.2">
      <c r="A359" s="2" t="s">
        <v>79</v>
      </c>
      <c r="B359" s="4">
        <v>3</v>
      </c>
      <c r="C359" s="5">
        <v>0.18</v>
      </c>
      <c r="D359" s="4">
        <v>0</v>
      </c>
      <c r="E359" s="5">
        <v>0</v>
      </c>
      <c r="F359" s="4">
        <v>3</v>
      </c>
      <c r="G359" s="5">
        <v>0.53</v>
      </c>
      <c r="H359" s="4">
        <v>0</v>
      </c>
    </row>
    <row r="360" spans="1:8" x14ac:dyDescent="0.2">
      <c r="A360" s="2" t="s">
        <v>80</v>
      </c>
      <c r="B360" s="4">
        <v>8</v>
      </c>
      <c r="C360" s="5">
        <v>0.48</v>
      </c>
      <c r="D360" s="4">
        <v>2</v>
      </c>
      <c r="E360" s="5">
        <v>0.19</v>
      </c>
      <c r="F360" s="4">
        <v>6</v>
      </c>
      <c r="G360" s="5">
        <v>1.06</v>
      </c>
      <c r="H360" s="4">
        <v>0</v>
      </c>
    </row>
    <row r="361" spans="1:8" x14ac:dyDescent="0.2">
      <c r="A361" s="2" t="s">
        <v>81</v>
      </c>
      <c r="B361" s="4">
        <v>478</v>
      </c>
      <c r="C361" s="5">
        <v>28.9</v>
      </c>
      <c r="D361" s="4">
        <v>314</v>
      </c>
      <c r="E361" s="5">
        <v>29.68</v>
      </c>
      <c r="F361" s="4">
        <v>164</v>
      </c>
      <c r="G361" s="5">
        <v>28.92</v>
      </c>
      <c r="H361" s="4">
        <v>0</v>
      </c>
    </row>
    <row r="362" spans="1:8" x14ac:dyDescent="0.2">
      <c r="A362" s="2" t="s">
        <v>82</v>
      </c>
      <c r="B362" s="4">
        <v>7</v>
      </c>
      <c r="C362" s="5">
        <v>0.42</v>
      </c>
      <c r="D362" s="4">
        <v>3</v>
      </c>
      <c r="E362" s="5">
        <v>0.28000000000000003</v>
      </c>
      <c r="F362" s="4">
        <v>4</v>
      </c>
      <c r="G362" s="5">
        <v>0.71</v>
      </c>
      <c r="H362" s="4">
        <v>0</v>
      </c>
    </row>
    <row r="363" spans="1:8" x14ac:dyDescent="0.2">
      <c r="A363" s="2" t="s">
        <v>83</v>
      </c>
      <c r="B363" s="4">
        <v>103</v>
      </c>
      <c r="C363" s="5">
        <v>6.23</v>
      </c>
      <c r="D363" s="4">
        <v>54</v>
      </c>
      <c r="E363" s="5">
        <v>5.0999999999999996</v>
      </c>
      <c r="F363" s="4">
        <v>49</v>
      </c>
      <c r="G363" s="5">
        <v>8.64</v>
      </c>
      <c r="H363" s="4">
        <v>0</v>
      </c>
    </row>
    <row r="364" spans="1:8" x14ac:dyDescent="0.2">
      <c r="A364" s="2" t="s">
        <v>84</v>
      </c>
      <c r="B364" s="4">
        <v>70</v>
      </c>
      <c r="C364" s="5">
        <v>4.2300000000000004</v>
      </c>
      <c r="D364" s="4">
        <v>36</v>
      </c>
      <c r="E364" s="5">
        <v>3.4</v>
      </c>
      <c r="F364" s="4">
        <v>34</v>
      </c>
      <c r="G364" s="5">
        <v>6</v>
      </c>
      <c r="H364" s="4">
        <v>0</v>
      </c>
    </row>
    <row r="365" spans="1:8" x14ac:dyDescent="0.2">
      <c r="A365" s="2" t="s">
        <v>85</v>
      </c>
      <c r="B365" s="4">
        <v>153</v>
      </c>
      <c r="C365" s="5">
        <v>9.25</v>
      </c>
      <c r="D365" s="4">
        <v>123</v>
      </c>
      <c r="E365" s="5">
        <v>11.63</v>
      </c>
      <c r="F365" s="4">
        <v>28</v>
      </c>
      <c r="G365" s="5">
        <v>4.9400000000000004</v>
      </c>
      <c r="H365" s="4">
        <v>0</v>
      </c>
    </row>
    <row r="366" spans="1:8" x14ac:dyDescent="0.2">
      <c r="A366" s="2" t="s">
        <v>86</v>
      </c>
      <c r="B366" s="4">
        <v>198</v>
      </c>
      <c r="C366" s="5">
        <v>11.97</v>
      </c>
      <c r="D366" s="4">
        <v>169</v>
      </c>
      <c r="E366" s="5">
        <v>15.97</v>
      </c>
      <c r="F366" s="4">
        <v>27</v>
      </c>
      <c r="G366" s="5">
        <v>4.76</v>
      </c>
      <c r="H366" s="4">
        <v>0</v>
      </c>
    </row>
    <row r="367" spans="1:8" x14ac:dyDescent="0.2">
      <c r="A367" s="2" t="s">
        <v>87</v>
      </c>
      <c r="B367" s="4">
        <v>49</v>
      </c>
      <c r="C367" s="5">
        <v>2.96</v>
      </c>
      <c r="D367" s="4">
        <v>23</v>
      </c>
      <c r="E367" s="5">
        <v>2.17</v>
      </c>
      <c r="F367" s="4">
        <v>5</v>
      </c>
      <c r="G367" s="5">
        <v>0.88</v>
      </c>
      <c r="H367" s="4">
        <v>0</v>
      </c>
    </row>
    <row r="368" spans="1:8" x14ac:dyDescent="0.2">
      <c r="A368" s="2" t="s">
        <v>88</v>
      </c>
      <c r="B368" s="4">
        <v>86</v>
      </c>
      <c r="C368" s="5">
        <v>5.2</v>
      </c>
      <c r="D368" s="4">
        <v>65</v>
      </c>
      <c r="E368" s="5">
        <v>6.14</v>
      </c>
      <c r="F368" s="4">
        <v>20</v>
      </c>
      <c r="G368" s="5">
        <v>3.53</v>
      </c>
      <c r="H368" s="4">
        <v>1</v>
      </c>
    </row>
    <row r="369" spans="1:8" x14ac:dyDescent="0.2">
      <c r="A369" s="2" t="s">
        <v>89</v>
      </c>
      <c r="B369" s="4">
        <v>59</v>
      </c>
      <c r="C369" s="5">
        <v>3.57</v>
      </c>
      <c r="D369" s="4">
        <v>37</v>
      </c>
      <c r="E369" s="5">
        <v>3.5</v>
      </c>
      <c r="F369" s="4">
        <v>19</v>
      </c>
      <c r="G369" s="5">
        <v>3.35</v>
      </c>
      <c r="H369" s="4">
        <v>0</v>
      </c>
    </row>
    <row r="370" spans="1:8" x14ac:dyDescent="0.2">
      <c r="A370" s="1" t="s">
        <v>23</v>
      </c>
      <c r="B370" s="4">
        <v>1798</v>
      </c>
      <c r="C370" s="5">
        <v>100.00000000000003</v>
      </c>
      <c r="D370" s="4">
        <v>1211</v>
      </c>
      <c r="E370" s="5">
        <v>100.00999999999999</v>
      </c>
      <c r="F370" s="4">
        <v>550</v>
      </c>
      <c r="G370" s="5">
        <v>100.01999999999998</v>
      </c>
      <c r="H370" s="4">
        <v>14</v>
      </c>
    </row>
    <row r="371" spans="1:8" x14ac:dyDescent="0.2">
      <c r="A371" s="2" t="s">
        <v>75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2">
      <c r="A372" s="2" t="s">
        <v>76</v>
      </c>
      <c r="B372" s="4">
        <v>313</v>
      </c>
      <c r="C372" s="5">
        <v>17.41</v>
      </c>
      <c r="D372" s="4">
        <v>204</v>
      </c>
      <c r="E372" s="5">
        <v>16.850000000000001</v>
      </c>
      <c r="F372" s="4">
        <v>109</v>
      </c>
      <c r="G372" s="5">
        <v>19.82</v>
      </c>
      <c r="H372" s="4">
        <v>0</v>
      </c>
    </row>
    <row r="373" spans="1:8" x14ac:dyDescent="0.2">
      <c r="A373" s="2" t="s">
        <v>77</v>
      </c>
      <c r="B373" s="4">
        <v>255</v>
      </c>
      <c r="C373" s="5">
        <v>14.18</v>
      </c>
      <c r="D373" s="4">
        <v>151</v>
      </c>
      <c r="E373" s="5">
        <v>12.47</v>
      </c>
      <c r="F373" s="4">
        <v>91</v>
      </c>
      <c r="G373" s="5">
        <v>16.55</v>
      </c>
      <c r="H373" s="4">
        <v>13</v>
      </c>
    </row>
    <row r="374" spans="1:8" x14ac:dyDescent="0.2">
      <c r="A374" s="2" t="s">
        <v>78</v>
      </c>
      <c r="B374" s="4">
        <v>2</v>
      </c>
      <c r="C374" s="5">
        <v>0.11</v>
      </c>
      <c r="D374" s="4">
        <v>0</v>
      </c>
      <c r="E374" s="5">
        <v>0</v>
      </c>
      <c r="F374" s="4">
        <v>2</v>
      </c>
      <c r="G374" s="5">
        <v>0.36</v>
      </c>
      <c r="H374" s="4">
        <v>0</v>
      </c>
    </row>
    <row r="375" spans="1:8" x14ac:dyDescent="0.2">
      <c r="A375" s="2" t="s">
        <v>79</v>
      </c>
      <c r="B375" s="4">
        <v>5</v>
      </c>
      <c r="C375" s="5">
        <v>0.28000000000000003</v>
      </c>
      <c r="D375" s="4">
        <v>0</v>
      </c>
      <c r="E375" s="5">
        <v>0</v>
      </c>
      <c r="F375" s="4">
        <v>5</v>
      </c>
      <c r="G375" s="5">
        <v>0.91</v>
      </c>
      <c r="H375" s="4">
        <v>0</v>
      </c>
    </row>
    <row r="376" spans="1:8" x14ac:dyDescent="0.2">
      <c r="A376" s="2" t="s">
        <v>80</v>
      </c>
      <c r="B376" s="4">
        <v>5</v>
      </c>
      <c r="C376" s="5">
        <v>0.28000000000000003</v>
      </c>
      <c r="D376" s="4">
        <v>0</v>
      </c>
      <c r="E376" s="5">
        <v>0</v>
      </c>
      <c r="F376" s="4">
        <v>4</v>
      </c>
      <c r="G376" s="5">
        <v>0.73</v>
      </c>
      <c r="H376" s="4">
        <v>1</v>
      </c>
    </row>
    <row r="377" spans="1:8" x14ac:dyDescent="0.2">
      <c r="A377" s="2" t="s">
        <v>81</v>
      </c>
      <c r="B377" s="4">
        <v>479</v>
      </c>
      <c r="C377" s="5">
        <v>26.64</v>
      </c>
      <c r="D377" s="4">
        <v>316</v>
      </c>
      <c r="E377" s="5">
        <v>26.09</v>
      </c>
      <c r="F377" s="4">
        <v>163</v>
      </c>
      <c r="G377" s="5">
        <v>29.64</v>
      </c>
      <c r="H377" s="4">
        <v>0</v>
      </c>
    </row>
    <row r="378" spans="1:8" x14ac:dyDescent="0.2">
      <c r="A378" s="2" t="s">
        <v>82</v>
      </c>
      <c r="B378" s="4">
        <v>9</v>
      </c>
      <c r="C378" s="5">
        <v>0.5</v>
      </c>
      <c r="D378" s="4">
        <v>2</v>
      </c>
      <c r="E378" s="5">
        <v>0.17</v>
      </c>
      <c r="F378" s="4">
        <v>7</v>
      </c>
      <c r="G378" s="5">
        <v>1.27</v>
      </c>
      <c r="H378" s="4">
        <v>0</v>
      </c>
    </row>
    <row r="379" spans="1:8" x14ac:dyDescent="0.2">
      <c r="A379" s="2" t="s">
        <v>83</v>
      </c>
      <c r="B379" s="4">
        <v>64</v>
      </c>
      <c r="C379" s="5">
        <v>3.56</v>
      </c>
      <c r="D379" s="4">
        <v>28</v>
      </c>
      <c r="E379" s="5">
        <v>2.31</v>
      </c>
      <c r="F379" s="4">
        <v>36</v>
      </c>
      <c r="G379" s="5">
        <v>6.55</v>
      </c>
      <c r="H379" s="4">
        <v>0</v>
      </c>
    </row>
    <row r="380" spans="1:8" x14ac:dyDescent="0.2">
      <c r="A380" s="2" t="s">
        <v>84</v>
      </c>
      <c r="B380" s="4">
        <v>72</v>
      </c>
      <c r="C380" s="5">
        <v>4</v>
      </c>
      <c r="D380" s="4">
        <v>41</v>
      </c>
      <c r="E380" s="5">
        <v>3.39</v>
      </c>
      <c r="F380" s="4">
        <v>30</v>
      </c>
      <c r="G380" s="5">
        <v>5.45</v>
      </c>
      <c r="H380" s="4">
        <v>0</v>
      </c>
    </row>
    <row r="381" spans="1:8" x14ac:dyDescent="0.2">
      <c r="A381" s="2" t="s">
        <v>85</v>
      </c>
      <c r="B381" s="4">
        <v>179</v>
      </c>
      <c r="C381" s="5">
        <v>9.9600000000000009</v>
      </c>
      <c r="D381" s="4">
        <v>165</v>
      </c>
      <c r="E381" s="5">
        <v>13.63</v>
      </c>
      <c r="F381" s="4">
        <v>14</v>
      </c>
      <c r="G381" s="5">
        <v>2.5499999999999998</v>
      </c>
      <c r="H381" s="4">
        <v>0</v>
      </c>
    </row>
    <row r="382" spans="1:8" x14ac:dyDescent="0.2">
      <c r="A382" s="2" t="s">
        <v>86</v>
      </c>
      <c r="B382" s="4">
        <v>201</v>
      </c>
      <c r="C382" s="5">
        <v>11.18</v>
      </c>
      <c r="D382" s="4">
        <v>170</v>
      </c>
      <c r="E382" s="5">
        <v>14.04</v>
      </c>
      <c r="F382" s="4">
        <v>31</v>
      </c>
      <c r="G382" s="5">
        <v>5.64</v>
      </c>
      <c r="H382" s="4">
        <v>0</v>
      </c>
    </row>
    <row r="383" spans="1:8" x14ac:dyDescent="0.2">
      <c r="A383" s="2" t="s">
        <v>87</v>
      </c>
      <c r="B383" s="4">
        <v>41</v>
      </c>
      <c r="C383" s="5">
        <v>2.2799999999999998</v>
      </c>
      <c r="D383" s="4">
        <v>21</v>
      </c>
      <c r="E383" s="5">
        <v>1.73</v>
      </c>
      <c r="F383" s="4">
        <v>6</v>
      </c>
      <c r="G383" s="5">
        <v>1.0900000000000001</v>
      </c>
      <c r="H383" s="4">
        <v>0</v>
      </c>
    </row>
    <row r="384" spans="1:8" x14ac:dyDescent="0.2">
      <c r="A384" s="2" t="s">
        <v>88</v>
      </c>
      <c r="B384" s="4">
        <v>75</v>
      </c>
      <c r="C384" s="5">
        <v>4.17</v>
      </c>
      <c r="D384" s="4">
        <v>48</v>
      </c>
      <c r="E384" s="5">
        <v>3.96</v>
      </c>
      <c r="F384" s="4">
        <v>21</v>
      </c>
      <c r="G384" s="5">
        <v>3.82</v>
      </c>
      <c r="H384" s="4">
        <v>0</v>
      </c>
    </row>
    <row r="385" spans="1:8" x14ac:dyDescent="0.2">
      <c r="A385" s="2" t="s">
        <v>89</v>
      </c>
      <c r="B385" s="4">
        <v>98</v>
      </c>
      <c r="C385" s="5">
        <v>5.45</v>
      </c>
      <c r="D385" s="4">
        <v>65</v>
      </c>
      <c r="E385" s="5">
        <v>5.37</v>
      </c>
      <c r="F385" s="4">
        <v>31</v>
      </c>
      <c r="G385" s="5">
        <v>5.64</v>
      </c>
      <c r="H385" s="4">
        <v>0</v>
      </c>
    </row>
    <row r="386" spans="1:8" x14ac:dyDescent="0.2">
      <c r="A386" s="1" t="s">
        <v>24</v>
      </c>
      <c r="B386" s="4">
        <v>1060</v>
      </c>
      <c r="C386" s="5">
        <v>99.99</v>
      </c>
      <c r="D386" s="4">
        <v>641</v>
      </c>
      <c r="E386" s="5">
        <v>99.989999999999981</v>
      </c>
      <c r="F386" s="4">
        <v>411</v>
      </c>
      <c r="G386" s="5">
        <v>100.01000000000002</v>
      </c>
      <c r="H386" s="4">
        <v>5</v>
      </c>
    </row>
    <row r="387" spans="1:8" x14ac:dyDescent="0.2">
      <c r="A387" s="2" t="s">
        <v>75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2">
      <c r="A388" s="2" t="s">
        <v>76</v>
      </c>
      <c r="B388" s="4">
        <v>122</v>
      </c>
      <c r="C388" s="5">
        <v>11.51</v>
      </c>
      <c r="D388" s="4">
        <v>57</v>
      </c>
      <c r="E388" s="5">
        <v>8.89</v>
      </c>
      <c r="F388" s="4">
        <v>65</v>
      </c>
      <c r="G388" s="5">
        <v>15.82</v>
      </c>
      <c r="H388" s="4">
        <v>0</v>
      </c>
    </row>
    <row r="389" spans="1:8" x14ac:dyDescent="0.2">
      <c r="A389" s="2" t="s">
        <v>77</v>
      </c>
      <c r="B389" s="4">
        <v>122</v>
      </c>
      <c r="C389" s="5">
        <v>11.51</v>
      </c>
      <c r="D389" s="4">
        <v>74</v>
      </c>
      <c r="E389" s="5">
        <v>11.54</v>
      </c>
      <c r="F389" s="4">
        <v>48</v>
      </c>
      <c r="G389" s="5">
        <v>11.68</v>
      </c>
      <c r="H389" s="4">
        <v>0</v>
      </c>
    </row>
    <row r="390" spans="1:8" x14ac:dyDescent="0.2">
      <c r="A390" s="2" t="s">
        <v>78</v>
      </c>
      <c r="B390" s="4">
        <v>3</v>
      </c>
      <c r="C390" s="5">
        <v>0.28000000000000003</v>
      </c>
      <c r="D390" s="4">
        <v>0</v>
      </c>
      <c r="E390" s="5">
        <v>0</v>
      </c>
      <c r="F390" s="4">
        <v>3</v>
      </c>
      <c r="G390" s="5">
        <v>0.73</v>
      </c>
      <c r="H390" s="4">
        <v>0</v>
      </c>
    </row>
    <row r="391" spans="1:8" x14ac:dyDescent="0.2">
      <c r="A391" s="2" t="s">
        <v>79</v>
      </c>
      <c r="B391" s="4">
        <v>2</v>
      </c>
      <c r="C391" s="5">
        <v>0.19</v>
      </c>
      <c r="D391" s="4">
        <v>0</v>
      </c>
      <c r="E391" s="5">
        <v>0</v>
      </c>
      <c r="F391" s="4">
        <v>2</v>
      </c>
      <c r="G391" s="5">
        <v>0.49</v>
      </c>
      <c r="H391" s="4">
        <v>0</v>
      </c>
    </row>
    <row r="392" spans="1:8" x14ac:dyDescent="0.2">
      <c r="A392" s="2" t="s">
        <v>80</v>
      </c>
      <c r="B392" s="4">
        <v>9</v>
      </c>
      <c r="C392" s="5">
        <v>0.85</v>
      </c>
      <c r="D392" s="4">
        <v>2</v>
      </c>
      <c r="E392" s="5">
        <v>0.31</v>
      </c>
      <c r="F392" s="4">
        <v>6</v>
      </c>
      <c r="G392" s="5">
        <v>1.46</v>
      </c>
      <c r="H392" s="4">
        <v>1</v>
      </c>
    </row>
    <row r="393" spans="1:8" x14ac:dyDescent="0.2">
      <c r="A393" s="2" t="s">
        <v>81</v>
      </c>
      <c r="B393" s="4">
        <v>282</v>
      </c>
      <c r="C393" s="5">
        <v>26.6</v>
      </c>
      <c r="D393" s="4">
        <v>156</v>
      </c>
      <c r="E393" s="5">
        <v>24.34</v>
      </c>
      <c r="F393" s="4">
        <v>125</v>
      </c>
      <c r="G393" s="5">
        <v>30.41</v>
      </c>
      <c r="H393" s="4">
        <v>1</v>
      </c>
    </row>
    <row r="394" spans="1:8" x14ac:dyDescent="0.2">
      <c r="A394" s="2" t="s">
        <v>82</v>
      </c>
      <c r="B394" s="4">
        <v>4</v>
      </c>
      <c r="C394" s="5">
        <v>0.38</v>
      </c>
      <c r="D394" s="4">
        <v>1</v>
      </c>
      <c r="E394" s="5">
        <v>0.16</v>
      </c>
      <c r="F394" s="4">
        <v>3</v>
      </c>
      <c r="G394" s="5">
        <v>0.73</v>
      </c>
      <c r="H394" s="4">
        <v>0</v>
      </c>
    </row>
    <row r="395" spans="1:8" x14ac:dyDescent="0.2">
      <c r="A395" s="2" t="s">
        <v>83</v>
      </c>
      <c r="B395" s="4">
        <v>74</v>
      </c>
      <c r="C395" s="5">
        <v>6.98</v>
      </c>
      <c r="D395" s="4">
        <v>19</v>
      </c>
      <c r="E395" s="5">
        <v>2.96</v>
      </c>
      <c r="F395" s="4">
        <v>54</v>
      </c>
      <c r="G395" s="5">
        <v>13.14</v>
      </c>
      <c r="H395" s="4">
        <v>0</v>
      </c>
    </row>
    <row r="396" spans="1:8" x14ac:dyDescent="0.2">
      <c r="A396" s="2" t="s">
        <v>84</v>
      </c>
      <c r="B396" s="4">
        <v>51</v>
      </c>
      <c r="C396" s="5">
        <v>4.8099999999999996</v>
      </c>
      <c r="D396" s="4">
        <v>26</v>
      </c>
      <c r="E396" s="5">
        <v>4.0599999999999996</v>
      </c>
      <c r="F396" s="4">
        <v>25</v>
      </c>
      <c r="G396" s="5">
        <v>6.08</v>
      </c>
      <c r="H396" s="4">
        <v>0</v>
      </c>
    </row>
    <row r="397" spans="1:8" x14ac:dyDescent="0.2">
      <c r="A397" s="2" t="s">
        <v>85</v>
      </c>
      <c r="B397" s="4">
        <v>111</v>
      </c>
      <c r="C397" s="5">
        <v>10.47</v>
      </c>
      <c r="D397" s="4">
        <v>91</v>
      </c>
      <c r="E397" s="5">
        <v>14.2</v>
      </c>
      <c r="F397" s="4">
        <v>20</v>
      </c>
      <c r="G397" s="5">
        <v>4.87</v>
      </c>
      <c r="H397" s="4">
        <v>0</v>
      </c>
    </row>
    <row r="398" spans="1:8" x14ac:dyDescent="0.2">
      <c r="A398" s="2" t="s">
        <v>86</v>
      </c>
      <c r="B398" s="4">
        <v>141</v>
      </c>
      <c r="C398" s="5">
        <v>13.3</v>
      </c>
      <c r="D398" s="4">
        <v>114</v>
      </c>
      <c r="E398" s="5">
        <v>17.78</v>
      </c>
      <c r="F398" s="4">
        <v>27</v>
      </c>
      <c r="G398" s="5">
        <v>6.57</v>
      </c>
      <c r="H398" s="4">
        <v>0</v>
      </c>
    </row>
    <row r="399" spans="1:8" x14ac:dyDescent="0.2">
      <c r="A399" s="2" t="s">
        <v>87</v>
      </c>
      <c r="B399" s="4">
        <v>42</v>
      </c>
      <c r="C399" s="5">
        <v>3.96</v>
      </c>
      <c r="D399" s="4">
        <v>34</v>
      </c>
      <c r="E399" s="5">
        <v>5.3</v>
      </c>
      <c r="F399" s="4">
        <v>6</v>
      </c>
      <c r="G399" s="5">
        <v>1.46</v>
      </c>
      <c r="H399" s="4">
        <v>1</v>
      </c>
    </row>
    <row r="400" spans="1:8" x14ac:dyDescent="0.2">
      <c r="A400" s="2" t="s">
        <v>88</v>
      </c>
      <c r="B400" s="4">
        <v>59</v>
      </c>
      <c r="C400" s="5">
        <v>5.57</v>
      </c>
      <c r="D400" s="4">
        <v>40</v>
      </c>
      <c r="E400" s="5">
        <v>6.24</v>
      </c>
      <c r="F400" s="4">
        <v>16</v>
      </c>
      <c r="G400" s="5">
        <v>3.89</v>
      </c>
      <c r="H400" s="4">
        <v>2</v>
      </c>
    </row>
    <row r="401" spans="1:8" x14ac:dyDescent="0.2">
      <c r="A401" s="2" t="s">
        <v>89</v>
      </c>
      <c r="B401" s="4">
        <v>38</v>
      </c>
      <c r="C401" s="5">
        <v>3.58</v>
      </c>
      <c r="D401" s="4">
        <v>27</v>
      </c>
      <c r="E401" s="5">
        <v>4.21</v>
      </c>
      <c r="F401" s="4">
        <v>11</v>
      </c>
      <c r="G401" s="5">
        <v>2.68</v>
      </c>
      <c r="H401" s="4">
        <v>0</v>
      </c>
    </row>
    <row r="402" spans="1:8" x14ac:dyDescent="0.2">
      <c r="A402" s="1" t="s">
        <v>25</v>
      </c>
      <c r="B402" s="4">
        <v>1453</v>
      </c>
      <c r="C402" s="5">
        <v>99.999999999999986</v>
      </c>
      <c r="D402" s="4">
        <v>945</v>
      </c>
      <c r="E402" s="5">
        <v>99.990000000000009</v>
      </c>
      <c r="F402" s="4">
        <v>500</v>
      </c>
      <c r="G402" s="5">
        <v>100.00000000000003</v>
      </c>
      <c r="H402" s="4">
        <v>2</v>
      </c>
    </row>
    <row r="403" spans="1:8" x14ac:dyDescent="0.2">
      <c r="A403" s="2" t="s">
        <v>75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2">
      <c r="A404" s="2" t="s">
        <v>76</v>
      </c>
      <c r="B404" s="4">
        <v>114</v>
      </c>
      <c r="C404" s="5">
        <v>7.85</v>
      </c>
      <c r="D404" s="4">
        <v>62</v>
      </c>
      <c r="E404" s="5">
        <v>6.56</v>
      </c>
      <c r="F404" s="4">
        <v>52</v>
      </c>
      <c r="G404" s="5">
        <v>10.4</v>
      </c>
      <c r="H404" s="4">
        <v>0</v>
      </c>
    </row>
    <row r="405" spans="1:8" x14ac:dyDescent="0.2">
      <c r="A405" s="2" t="s">
        <v>77</v>
      </c>
      <c r="B405" s="4">
        <v>475</v>
      </c>
      <c r="C405" s="5">
        <v>32.69</v>
      </c>
      <c r="D405" s="4">
        <v>346</v>
      </c>
      <c r="E405" s="5">
        <v>36.61</v>
      </c>
      <c r="F405" s="4">
        <v>129</v>
      </c>
      <c r="G405" s="5">
        <v>25.8</v>
      </c>
      <c r="H405" s="4">
        <v>0</v>
      </c>
    </row>
    <row r="406" spans="1:8" x14ac:dyDescent="0.2">
      <c r="A406" s="2" t="s">
        <v>78</v>
      </c>
      <c r="B406" s="4">
        <v>1</v>
      </c>
      <c r="C406" s="5">
        <v>7.0000000000000007E-2</v>
      </c>
      <c r="D406" s="4">
        <v>0</v>
      </c>
      <c r="E406" s="5">
        <v>0</v>
      </c>
      <c r="F406" s="4">
        <v>1</v>
      </c>
      <c r="G406" s="5">
        <v>0.2</v>
      </c>
      <c r="H406" s="4">
        <v>0</v>
      </c>
    </row>
    <row r="407" spans="1:8" x14ac:dyDescent="0.2">
      <c r="A407" s="2" t="s">
        <v>79</v>
      </c>
      <c r="B407" s="4">
        <v>3</v>
      </c>
      <c r="C407" s="5">
        <v>0.21</v>
      </c>
      <c r="D407" s="4">
        <v>0</v>
      </c>
      <c r="E407" s="5">
        <v>0</v>
      </c>
      <c r="F407" s="4">
        <v>3</v>
      </c>
      <c r="G407" s="5">
        <v>0.6</v>
      </c>
      <c r="H407" s="4">
        <v>0</v>
      </c>
    </row>
    <row r="408" spans="1:8" x14ac:dyDescent="0.2">
      <c r="A408" s="2" t="s">
        <v>80</v>
      </c>
      <c r="B408" s="4">
        <v>6</v>
      </c>
      <c r="C408" s="5">
        <v>0.41</v>
      </c>
      <c r="D408" s="4">
        <v>0</v>
      </c>
      <c r="E408" s="5">
        <v>0</v>
      </c>
      <c r="F408" s="4">
        <v>6</v>
      </c>
      <c r="G408" s="5">
        <v>1.2</v>
      </c>
      <c r="H408" s="4">
        <v>0</v>
      </c>
    </row>
    <row r="409" spans="1:8" x14ac:dyDescent="0.2">
      <c r="A409" s="2" t="s">
        <v>81</v>
      </c>
      <c r="B409" s="4">
        <v>379</v>
      </c>
      <c r="C409" s="5">
        <v>26.08</v>
      </c>
      <c r="D409" s="4">
        <v>214</v>
      </c>
      <c r="E409" s="5">
        <v>22.65</v>
      </c>
      <c r="F409" s="4">
        <v>165</v>
      </c>
      <c r="G409" s="5">
        <v>33</v>
      </c>
      <c r="H409" s="4">
        <v>0</v>
      </c>
    </row>
    <row r="410" spans="1:8" x14ac:dyDescent="0.2">
      <c r="A410" s="2" t="s">
        <v>82</v>
      </c>
      <c r="B410" s="4">
        <v>6</v>
      </c>
      <c r="C410" s="5">
        <v>0.41</v>
      </c>
      <c r="D410" s="4">
        <v>0</v>
      </c>
      <c r="E410" s="5">
        <v>0</v>
      </c>
      <c r="F410" s="4">
        <v>6</v>
      </c>
      <c r="G410" s="5">
        <v>1.2</v>
      </c>
      <c r="H410" s="4">
        <v>0</v>
      </c>
    </row>
    <row r="411" spans="1:8" x14ac:dyDescent="0.2">
      <c r="A411" s="2" t="s">
        <v>83</v>
      </c>
      <c r="B411" s="4">
        <v>81</v>
      </c>
      <c r="C411" s="5">
        <v>5.57</v>
      </c>
      <c r="D411" s="4">
        <v>30</v>
      </c>
      <c r="E411" s="5">
        <v>3.17</v>
      </c>
      <c r="F411" s="4">
        <v>51</v>
      </c>
      <c r="G411" s="5">
        <v>10.199999999999999</v>
      </c>
      <c r="H411" s="4">
        <v>0</v>
      </c>
    </row>
    <row r="412" spans="1:8" x14ac:dyDescent="0.2">
      <c r="A412" s="2" t="s">
        <v>84</v>
      </c>
      <c r="B412" s="4">
        <v>46</v>
      </c>
      <c r="C412" s="5">
        <v>3.17</v>
      </c>
      <c r="D412" s="4">
        <v>24</v>
      </c>
      <c r="E412" s="5">
        <v>2.54</v>
      </c>
      <c r="F412" s="4">
        <v>21</v>
      </c>
      <c r="G412" s="5">
        <v>4.2</v>
      </c>
      <c r="H412" s="4">
        <v>0</v>
      </c>
    </row>
    <row r="413" spans="1:8" x14ac:dyDescent="0.2">
      <c r="A413" s="2" t="s">
        <v>85</v>
      </c>
      <c r="B413" s="4">
        <v>112</v>
      </c>
      <c r="C413" s="5">
        <v>7.71</v>
      </c>
      <c r="D413" s="4">
        <v>98</v>
      </c>
      <c r="E413" s="5">
        <v>10.37</v>
      </c>
      <c r="F413" s="4">
        <v>13</v>
      </c>
      <c r="G413" s="5">
        <v>2.6</v>
      </c>
      <c r="H413" s="4">
        <v>0</v>
      </c>
    </row>
    <row r="414" spans="1:8" x14ac:dyDescent="0.2">
      <c r="A414" s="2" t="s">
        <v>86</v>
      </c>
      <c r="B414" s="4">
        <v>117</v>
      </c>
      <c r="C414" s="5">
        <v>8.0500000000000007</v>
      </c>
      <c r="D414" s="4">
        <v>95</v>
      </c>
      <c r="E414" s="5">
        <v>10.050000000000001</v>
      </c>
      <c r="F414" s="4">
        <v>22</v>
      </c>
      <c r="G414" s="5">
        <v>4.4000000000000004</v>
      </c>
      <c r="H414" s="4">
        <v>0</v>
      </c>
    </row>
    <row r="415" spans="1:8" x14ac:dyDescent="0.2">
      <c r="A415" s="2" t="s">
        <v>87</v>
      </c>
      <c r="B415" s="4">
        <v>24</v>
      </c>
      <c r="C415" s="5">
        <v>1.65</v>
      </c>
      <c r="D415" s="4">
        <v>18</v>
      </c>
      <c r="E415" s="5">
        <v>1.9</v>
      </c>
      <c r="F415" s="4">
        <v>2</v>
      </c>
      <c r="G415" s="5">
        <v>0.4</v>
      </c>
      <c r="H415" s="4">
        <v>2</v>
      </c>
    </row>
    <row r="416" spans="1:8" x14ac:dyDescent="0.2">
      <c r="A416" s="2" t="s">
        <v>88</v>
      </c>
      <c r="B416" s="4">
        <v>46</v>
      </c>
      <c r="C416" s="5">
        <v>3.17</v>
      </c>
      <c r="D416" s="4">
        <v>31</v>
      </c>
      <c r="E416" s="5">
        <v>3.28</v>
      </c>
      <c r="F416" s="4">
        <v>14</v>
      </c>
      <c r="G416" s="5">
        <v>2.8</v>
      </c>
      <c r="H416" s="4">
        <v>0</v>
      </c>
    </row>
    <row r="417" spans="1:8" x14ac:dyDescent="0.2">
      <c r="A417" s="2" t="s">
        <v>89</v>
      </c>
      <c r="B417" s="4">
        <v>43</v>
      </c>
      <c r="C417" s="5">
        <v>2.96</v>
      </c>
      <c r="D417" s="4">
        <v>27</v>
      </c>
      <c r="E417" s="5">
        <v>2.86</v>
      </c>
      <c r="F417" s="4">
        <v>15</v>
      </c>
      <c r="G417" s="5">
        <v>3</v>
      </c>
      <c r="H417" s="4">
        <v>0</v>
      </c>
    </row>
    <row r="418" spans="1:8" x14ac:dyDescent="0.2">
      <c r="A418" s="1" t="s">
        <v>26</v>
      </c>
      <c r="B418" s="4">
        <v>1493</v>
      </c>
      <c r="C418" s="5">
        <v>99.98</v>
      </c>
      <c r="D418" s="4">
        <v>866</v>
      </c>
      <c r="E418" s="5">
        <v>100.00999999999999</v>
      </c>
      <c r="F418" s="4">
        <v>610</v>
      </c>
      <c r="G418" s="5">
        <v>100.01999999999998</v>
      </c>
      <c r="H418" s="4">
        <v>3</v>
      </c>
    </row>
    <row r="419" spans="1:8" x14ac:dyDescent="0.2">
      <c r="A419" s="2" t="s">
        <v>75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2">
      <c r="A420" s="2" t="s">
        <v>76</v>
      </c>
      <c r="B420" s="4">
        <v>201</v>
      </c>
      <c r="C420" s="5">
        <v>13.46</v>
      </c>
      <c r="D420" s="4">
        <v>78</v>
      </c>
      <c r="E420" s="5">
        <v>9.01</v>
      </c>
      <c r="F420" s="4">
        <v>123</v>
      </c>
      <c r="G420" s="5">
        <v>20.16</v>
      </c>
      <c r="H420" s="4">
        <v>0</v>
      </c>
    </row>
    <row r="421" spans="1:8" x14ac:dyDescent="0.2">
      <c r="A421" s="2" t="s">
        <v>77</v>
      </c>
      <c r="B421" s="4">
        <v>70</v>
      </c>
      <c r="C421" s="5">
        <v>4.6900000000000004</v>
      </c>
      <c r="D421" s="4">
        <v>27</v>
      </c>
      <c r="E421" s="5">
        <v>3.12</v>
      </c>
      <c r="F421" s="4">
        <v>43</v>
      </c>
      <c r="G421" s="5">
        <v>7.05</v>
      </c>
      <c r="H421" s="4">
        <v>0</v>
      </c>
    </row>
    <row r="422" spans="1:8" x14ac:dyDescent="0.2">
      <c r="A422" s="2" t="s">
        <v>78</v>
      </c>
      <c r="B422" s="4">
        <v>6</v>
      </c>
      <c r="C422" s="5">
        <v>0.4</v>
      </c>
      <c r="D422" s="4">
        <v>1</v>
      </c>
      <c r="E422" s="5">
        <v>0.12</v>
      </c>
      <c r="F422" s="4">
        <v>4</v>
      </c>
      <c r="G422" s="5">
        <v>0.66</v>
      </c>
      <c r="H422" s="4">
        <v>0</v>
      </c>
    </row>
    <row r="423" spans="1:8" x14ac:dyDescent="0.2">
      <c r="A423" s="2" t="s">
        <v>79</v>
      </c>
      <c r="B423" s="4">
        <v>5</v>
      </c>
      <c r="C423" s="5">
        <v>0.33</v>
      </c>
      <c r="D423" s="4">
        <v>1</v>
      </c>
      <c r="E423" s="5">
        <v>0.12</v>
      </c>
      <c r="F423" s="4">
        <v>4</v>
      </c>
      <c r="G423" s="5">
        <v>0.66</v>
      </c>
      <c r="H423" s="4">
        <v>0</v>
      </c>
    </row>
    <row r="424" spans="1:8" x14ac:dyDescent="0.2">
      <c r="A424" s="2" t="s">
        <v>80</v>
      </c>
      <c r="B424" s="4">
        <v>9</v>
      </c>
      <c r="C424" s="5">
        <v>0.6</v>
      </c>
      <c r="D424" s="4">
        <v>2</v>
      </c>
      <c r="E424" s="5">
        <v>0.23</v>
      </c>
      <c r="F424" s="4">
        <v>7</v>
      </c>
      <c r="G424" s="5">
        <v>1.1499999999999999</v>
      </c>
      <c r="H424" s="4">
        <v>0</v>
      </c>
    </row>
    <row r="425" spans="1:8" x14ac:dyDescent="0.2">
      <c r="A425" s="2" t="s">
        <v>81</v>
      </c>
      <c r="B425" s="4">
        <v>366</v>
      </c>
      <c r="C425" s="5">
        <v>24.51</v>
      </c>
      <c r="D425" s="4">
        <v>183</v>
      </c>
      <c r="E425" s="5">
        <v>21.13</v>
      </c>
      <c r="F425" s="4">
        <v>183</v>
      </c>
      <c r="G425" s="5">
        <v>30</v>
      </c>
      <c r="H425" s="4">
        <v>0</v>
      </c>
    </row>
    <row r="426" spans="1:8" x14ac:dyDescent="0.2">
      <c r="A426" s="2" t="s">
        <v>82</v>
      </c>
      <c r="B426" s="4">
        <v>9</v>
      </c>
      <c r="C426" s="5">
        <v>0.6</v>
      </c>
      <c r="D426" s="4">
        <v>1</v>
      </c>
      <c r="E426" s="5">
        <v>0.12</v>
      </c>
      <c r="F426" s="4">
        <v>7</v>
      </c>
      <c r="G426" s="5">
        <v>1.1499999999999999</v>
      </c>
      <c r="H426" s="4">
        <v>1</v>
      </c>
    </row>
    <row r="427" spans="1:8" x14ac:dyDescent="0.2">
      <c r="A427" s="2" t="s">
        <v>83</v>
      </c>
      <c r="B427" s="4">
        <v>171</v>
      </c>
      <c r="C427" s="5">
        <v>11.45</v>
      </c>
      <c r="D427" s="4">
        <v>108</v>
      </c>
      <c r="E427" s="5">
        <v>12.47</v>
      </c>
      <c r="F427" s="4">
        <v>63</v>
      </c>
      <c r="G427" s="5">
        <v>10.33</v>
      </c>
      <c r="H427" s="4">
        <v>0</v>
      </c>
    </row>
    <row r="428" spans="1:8" x14ac:dyDescent="0.2">
      <c r="A428" s="2" t="s">
        <v>84</v>
      </c>
      <c r="B428" s="4">
        <v>64</v>
      </c>
      <c r="C428" s="5">
        <v>4.29</v>
      </c>
      <c r="D428" s="4">
        <v>41</v>
      </c>
      <c r="E428" s="5">
        <v>4.7300000000000004</v>
      </c>
      <c r="F428" s="4">
        <v>23</v>
      </c>
      <c r="G428" s="5">
        <v>3.77</v>
      </c>
      <c r="H428" s="4">
        <v>0</v>
      </c>
    </row>
    <row r="429" spans="1:8" x14ac:dyDescent="0.2">
      <c r="A429" s="2" t="s">
        <v>85</v>
      </c>
      <c r="B429" s="4">
        <v>194</v>
      </c>
      <c r="C429" s="5">
        <v>12.99</v>
      </c>
      <c r="D429" s="4">
        <v>162</v>
      </c>
      <c r="E429" s="5">
        <v>18.71</v>
      </c>
      <c r="F429" s="4">
        <v>32</v>
      </c>
      <c r="G429" s="5">
        <v>5.25</v>
      </c>
      <c r="H429" s="4">
        <v>0</v>
      </c>
    </row>
    <row r="430" spans="1:8" x14ac:dyDescent="0.2">
      <c r="A430" s="2" t="s">
        <v>86</v>
      </c>
      <c r="B430" s="4">
        <v>191</v>
      </c>
      <c r="C430" s="5">
        <v>12.79</v>
      </c>
      <c r="D430" s="4">
        <v>147</v>
      </c>
      <c r="E430" s="5">
        <v>16.97</v>
      </c>
      <c r="F430" s="4">
        <v>44</v>
      </c>
      <c r="G430" s="5">
        <v>7.21</v>
      </c>
      <c r="H430" s="4">
        <v>0</v>
      </c>
    </row>
    <row r="431" spans="1:8" x14ac:dyDescent="0.2">
      <c r="A431" s="2" t="s">
        <v>87</v>
      </c>
      <c r="B431" s="4">
        <v>66</v>
      </c>
      <c r="C431" s="5">
        <v>4.42</v>
      </c>
      <c r="D431" s="4">
        <v>48</v>
      </c>
      <c r="E431" s="5">
        <v>5.54</v>
      </c>
      <c r="F431" s="4">
        <v>9</v>
      </c>
      <c r="G431" s="5">
        <v>1.48</v>
      </c>
      <c r="H431" s="4">
        <v>0</v>
      </c>
    </row>
    <row r="432" spans="1:8" x14ac:dyDescent="0.2">
      <c r="A432" s="2" t="s">
        <v>88</v>
      </c>
      <c r="B432" s="4">
        <v>91</v>
      </c>
      <c r="C432" s="5">
        <v>6.1</v>
      </c>
      <c r="D432" s="4">
        <v>47</v>
      </c>
      <c r="E432" s="5">
        <v>5.43</v>
      </c>
      <c r="F432" s="4">
        <v>43</v>
      </c>
      <c r="G432" s="5">
        <v>7.05</v>
      </c>
      <c r="H432" s="4">
        <v>0</v>
      </c>
    </row>
    <row r="433" spans="1:8" x14ac:dyDescent="0.2">
      <c r="A433" s="2" t="s">
        <v>89</v>
      </c>
      <c r="B433" s="4">
        <v>50</v>
      </c>
      <c r="C433" s="5">
        <v>3.35</v>
      </c>
      <c r="D433" s="4">
        <v>20</v>
      </c>
      <c r="E433" s="5">
        <v>2.31</v>
      </c>
      <c r="F433" s="4">
        <v>25</v>
      </c>
      <c r="G433" s="5">
        <v>4.0999999999999996</v>
      </c>
      <c r="H433" s="4">
        <v>2</v>
      </c>
    </row>
    <row r="434" spans="1:8" x14ac:dyDescent="0.2">
      <c r="A434" s="1" t="s">
        <v>27</v>
      </c>
      <c r="B434" s="4">
        <v>600</v>
      </c>
      <c r="C434" s="5">
        <v>100.02</v>
      </c>
      <c r="D434" s="4">
        <v>352</v>
      </c>
      <c r="E434" s="5">
        <v>99.99</v>
      </c>
      <c r="F434" s="4">
        <v>227</v>
      </c>
      <c r="G434" s="5">
        <v>100</v>
      </c>
      <c r="H434" s="4">
        <v>3</v>
      </c>
    </row>
    <row r="435" spans="1:8" x14ac:dyDescent="0.2">
      <c r="A435" s="2" t="s">
        <v>75</v>
      </c>
      <c r="B435" s="4">
        <v>1</v>
      </c>
      <c r="C435" s="5">
        <v>0.17</v>
      </c>
      <c r="D435" s="4">
        <v>0</v>
      </c>
      <c r="E435" s="5">
        <v>0</v>
      </c>
      <c r="F435" s="4">
        <v>1</v>
      </c>
      <c r="G435" s="5">
        <v>0.44</v>
      </c>
      <c r="H435" s="4">
        <v>0</v>
      </c>
    </row>
    <row r="436" spans="1:8" x14ac:dyDescent="0.2">
      <c r="A436" s="2" t="s">
        <v>76</v>
      </c>
      <c r="B436" s="4">
        <v>82</v>
      </c>
      <c r="C436" s="5">
        <v>13.67</v>
      </c>
      <c r="D436" s="4">
        <v>28</v>
      </c>
      <c r="E436" s="5">
        <v>7.95</v>
      </c>
      <c r="F436" s="4">
        <v>54</v>
      </c>
      <c r="G436" s="5">
        <v>23.79</v>
      </c>
      <c r="H436" s="4">
        <v>0</v>
      </c>
    </row>
    <row r="437" spans="1:8" x14ac:dyDescent="0.2">
      <c r="A437" s="2" t="s">
        <v>77</v>
      </c>
      <c r="B437" s="4">
        <v>40</v>
      </c>
      <c r="C437" s="5">
        <v>6.67</v>
      </c>
      <c r="D437" s="4">
        <v>15</v>
      </c>
      <c r="E437" s="5">
        <v>4.26</v>
      </c>
      <c r="F437" s="4">
        <v>24</v>
      </c>
      <c r="G437" s="5">
        <v>10.57</v>
      </c>
      <c r="H437" s="4">
        <v>1</v>
      </c>
    </row>
    <row r="438" spans="1:8" x14ac:dyDescent="0.2">
      <c r="A438" s="2" t="s">
        <v>78</v>
      </c>
      <c r="B438" s="4">
        <v>4</v>
      </c>
      <c r="C438" s="5">
        <v>0.67</v>
      </c>
      <c r="D438" s="4">
        <v>0</v>
      </c>
      <c r="E438" s="5">
        <v>0</v>
      </c>
      <c r="F438" s="4">
        <v>4</v>
      </c>
      <c r="G438" s="5">
        <v>1.76</v>
      </c>
      <c r="H438" s="4">
        <v>0</v>
      </c>
    </row>
    <row r="439" spans="1:8" x14ac:dyDescent="0.2">
      <c r="A439" s="2" t="s">
        <v>79</v>
      </c>
      <c r="B439" s="4">
        <v>1</v>
      </c>
      <c r="C439" s="5">
        <v>0.17</v>
      </c>
      <c r="D439" s="4">
        <v>0</v>
      </c>
      <c r="E439" s="5">
        <v>0</v>
      </c>
      <c r="F439" s="4">
        <v>1</v>
      </c>
      <c r="G439" s="5">
        <v>0.44</v>
      </c>
      <c r="H439" s="4">
        <v>0</v>
      </c>
    </row>
    <row r="440" spans="1:8" x14ac:dyDescent="0.2">
      <c r="A440" s="2" t="s">
        <v>80</v>
      </c>
      <c r="B440" s="4">
        <v>5</v>
      </c>
      <c r="C440" s="5">
        <v>0.83</v>
      </c>
      <c r="D440" s="4">
        <v>0</v>
      </c>
      <c r="E440" s="5">
        <v>0</v>
      </c>
      <c r="F440" s="4">
        <v>4</v>
      </c>
      <c r="G440" s="5">
        <v>1.76</v>
      </c>
      <c r="H440" s="4">
        <v>1</v>
      </c>
    </row>
    <row r="441" spans="1:8" x14ac:dyDescent="0.2">
      <c r="A441" s="2" t="s">
        <v>81</v>
      </c>
      <c r="B441" s="4">
        <v>158</v>
      </c>
      <c r="C441" s="5">
        <v>26.33</v>
      </c>
      <c r="D441" s="4">
        <v>102</v>
      </c>
      <c r="E441" s="5">
        <v>28.98</v>
      </c>
      <c r="F441" s="4">
        <v>55</v>
      </c>
      <c r="G441" s="5">
        <v>24.23</v>
      </c>
      <c r="H441" s="4">
        <v>1</v>
      </c>
    </row>
    <row r="442" spans="1:8" x14ac:dyDescent="0.2">
      <c r="A442" s="2" t="s">
        <v>82</v>
      </c>
      <c r="B442" s="4">
        <v>6</v>
      </c>
      <c r="C442" s="5">
        <v>1</v>
      </c>
      <c r="D442" s="4">
        <v>2</v>
      </c>
      <c r="E442" s="5">
        <v>0.56999999999999995</v>
      </c>
      <c r="F442" s="4">
        <v>4</v>
      </c>
      <c r="G442" s="5">
        <v>1.76</v>
      </c>
      <c r="H442" s="4">
        <v>0</v>
      </c>
    </row>
    <row r="443" spans="1:8" x14ac:dyDescent="0.2">
      <c r="A443" s="2" t="s">
        <v>83</v>
      </c>
      <c r="B443" s="4">
        <v>26</v>
      </c>
      <c r="C443" s="5">
        <v>4.33</v>
      </c>
      <c r="D443" s="4">
        <v>13</v>
      </c>
      <c r="E443" s="5">
        <v>3.69</v>
      </c>
      <c r="F443" s="4">
        <v>12</v>
      </c>
      <c r="G443" s="5">
        <v>5.29</v>
      </c>
      <c r="H443" s="4">
        <v>0</v>
      </c>
    </row>
    <row r="444" spans="1:8" x14ac:dyDescent="0.2">
      <c r="A444" s="2" t="s">
        <v>84</v>
      </c>
      <c r="B444" s="4">
        <v>19</v>
      </c>
      <c r="C444" s="5">
        <v>3.17</v>
      </c>
      <c r="D444" s="4">
        <v>9</v>
      </c>
      <c r="E444" s="5">
        <v>2.56</v>
      </c>
      <c r="F444" s="4">
        <v>10</v>
      </c>
      <c r="G444" s="5">
        <v>4.41</v>
      </c>
      <c r="H444" s="4">
        <v>0</v>
      </c>
    </row>
    <row r="445" spans="1:8" x14ac:dyDescent="0.2">
      <c r="A445" s="2" t="s">
        <v>85</v>
      </c>
      <c r="B445" s="4">
        <v>79</v>
      </c>
      <c r="C445" s="5">
        <v>13.17</v>
      </c>
      <c r="D445" s="4">
        <v>58</v>
      </c>
      <c r="E445" s="5">
        <v>16.48</v>
      </c>
      <c r="F445" s="4">
        <v>21</v>
      </c>
      <c r="G445" s="5">
        <v>9.25</v>
      </c>
      <c r="H445" s="4">
        <v>0</v>
      </c>
    </row>
    <row r="446" spans="1:8" x14ac:dyDescent="0.2">
      <c r="A446" s="2" t="s">
        <v>86</v>
      </c>
      <c r="B446" s="4">
        <v>87</v>
      </c>
      <c r="C446" s="5">
        <v>14.5</v>
      </c>
      <c r="D446" s="4">
        <v>72</v>
      </c>
      <c r="E446" s="5">
        <v>20.45</v>
      </c>
      <c r="F446" s="4">
        <v>14</v>
      </c>
      <c r="G446" s="5">
        <v>6.17</v>
      </c>
      <c r="H446" s="4">
        <v>0</v>
      </c>
    </row>
    <row r="447" spans="1:8" x14ac:dyDescent="0.2">
      <c r="A447" s="2" t="s">
        <v>87</v>
      </c>
      <c r="B447" s="4">
        <v>34</v>
      </c>
      <c r="C447" s="5">
        <v>5.67</v>
      </c>
      <c r="D447" s="4">
        <v>17</v>
      </c>
      <c r="E447" s="5">
        <v>4.83</v>
      </c>
      <c r="F447" s="4">
        <v>6</v>
      </c>
      <c r="G447" s="5">
        <v>2.64</v>
      </c>
      <c r="H447" s="4">
        <v>0</v>
      </c>
    </row>
    <row r="448" spans="1:8" x14ac:dyDescent="0.2">
      <c r="A448" s="2" t="s">
        <v>88</v>
      </c>
      <c r="B448" s="4">
        <v>31</v>
      </c>
      <c r="C448" s="5">
        <v>5.17</v>
      </c>
      <c r="D448" s="4">
        <v>23</v>
      </c>
      <c r="E448" s="5">
        <v>6.53</v>
      </c>
      <c r="F448" s="4">
        <v>7</v>
      </c>
      <c r="G448" s="5">
        <v>3.08</v>
      </c>
      <c r="H448" s="4">
        <v>0</v>
      </c>
    </row>
    <row r="449" spans="1:8" x14ac:dyDescent="0.2">
      <c r="A449" s="2" t="s">
        <v>89</v>
      </c>
      <c r="B449" s="4">
        <v>27</v>
      </c>
      <c r="C449" s="5">
        <v>4.5</v>
      </c>
      <c r="D449" s="4">
        <v>13</v>
      </c>
      <c r="E449" s="5">
        <v>3.69</v>
      </c>
      <c r="F449" s="4">
        <v>10</v>
      </c>
      <c r="G449" s="5">
        <v>4.41</v>
      </c>
      <c r="H449" s="4">
        <v>0</v>
      </c>
    </row>
    <row r="450" spans="1:8" x14ac:dyDescent="0.2">
      <c r="A450" s="1" t="s">
        <v>28</v>
      </c>
      <c r="B450" s="4">
        <v>906</v>
      </c>
      <c r="C450" s="5">
        <v>100</v>
      </c>
      <c r="D450" s="4">
        <v>506</v>
      </c>
      <c r="E450" s="5">
        <v>99.990000000000009</v>
      </c>
      <c r="F450" s="4">
        <v>389</v>
      </c>
      <c r="G450" s="5">
        <v>100.00999999999999</v>
      </c>
      <c r="H450" s="4">
        <v>5</v>
      </c>
    </row>
    <row r="451" spans="1:8" x14ac:dyDescent="0.2">
      <c r="A451" s="2" t="s">
        <v>75</v>
      </c>
      <c r="B451" s="4">
        <v>0</v>
      </c>
      <c r="C451" s="5">
        <v>0</v>
      </c>
      <c r="D451" s="4">
        <v>0</v>
      </c>
      <c r="E451" s="5">
        <v>0</v>
      </c>
      <c r="F451" s="4">
        <v>0</v>
      </c>
      <c r="G451" s="5">
        <v>0</v>
      </c>
      <c r="H451" s="4">
        <v>0</v>
      </c>
    </row>
    <row r="452" spans="1:8" x14ac:dyDescent="0.2">
      <c r="A452" s="2" t="s">
        <v>76</v>
      </c>
      <c r="B452" s="4">
        <v>217</v>
      </c>
      <c r="C452" s="5">
        <v>23.95</v>
      </c>
      <c r="D452" s="4">
        <v>59</v>
      </c>
      <c r="E452" s="5">
        <v>11.66</v>
      </c>
      <c r="F452" s="4">
        <v>158</v>
      </c>
      <c r="G452" s="5">
        <v>40.619999999999997</v>
      </c>
      <c r="H452" s="4">
        <v>0</v>
      </c>
    </row>
    <row r="453" spans="1:8" x14ac:dyDescent="0.2">
      <c r="A453" s="2" t="s">
        <v>77</v>
      </c>
      <c r="B453" s="4">
        <v>39</v>
      </c>
      <c r="C453" s="5">
        <v>4.3</v>
      </c>
      <c r="D453" s="4">
        <v>19</v>
      </c>
      <c r="E453" s="5">
        <v>3.75</v>
      </c>
      <c r="F453" s="4">
        <v>19</v>
      </c>
      <c r="G453" s="5">
        <v>4.88</v>
      </c>
      <c r="H453" s="4">
        <v>1</v>
      </c>
    </row>
    <row r="454" spans="1:8" x14ac:dyDescent="0.2">
      <c r="A454" s="2" t="s">
        <v>78</v>
      </c>
      <c r="B454" s="4">
        <v>3</v>
      </c>
      <c r="C454" s="5">
        <v>0.33</v>
      </c>
      <c r="D454" s="4">
        <v>0</v>
      </c>
      <c r="E454" s="5">
        <v>0</v>
      </c>
      <c r="F454" s="4">
        <v>1</v>
      </c>
      <c r="G454" s="5">
        <v>0.26</v>
      </c>
      <c r="H454" s="4">
        <v>0</v>
      </c>
    </row>
    <row r="455" spans="1:8" x14ac:dyDescent="0.2">
      <c r="A455" s="2" t="s">
        <v>79</v>
      </c>
      <c r="B455" s="4">
        <v>4</v>
      </c>
      <c r="C455" s="5">
        <v>0.44</v>
      </c>
      <c r="D455" s="4">
        <v>1</v>
      </c>
      <c r="E455" s="5">
        <v>0.2</v>
      </c>
      <c r="F455" s="4">
        <v>3</v>
      </c>
      <c r="G455" s="5">
        <v>0.77</v>
      </c>
      <c r="H455" s="4">
        <v>0</v>
      </c>
    </row>
    <row r="456" spans="1:8" x14ac:dyDescent="0.2">
      <c r="A456" s="2" t="s">
        <v>80</v>
      </c>
      <c r="B456" s="4">
        <v>3</v>
      </c>
      <c r="C456" s="5">
        <v>0.33</v>
      </c>
      <c r="D456" s="4">
        <v>3</v>
      </c>
      <c r="E456" s="5">
        <v>0.59</v>
      </c>
      <c r="F456" s="4">
        <v>0</v>
      </c>
      <c r="G456" s="5">
        <v>0</v>
      </c>
      <c r="H456" s="4">
        <v>0</v>
      </c>
    </row>
    <row r="457" spans="1:8" x14ac:dyDescent="0.2">
      <c r="A457" s="2" t="s">
        <v>81</v>
      </c>
      <c r="B457" s="4">
        <v>210</v>
      </c>
      <c r="C457" s="5">
        <v>23.18</v>
      </c>
      <c r="D457" s="4">
        <v>121</v>
      </c>
      <c r="E457" s="5">
        <v>23.91</v>
      </c>
      <c r="F457" s="4">
        <v>88</v>
      </c>
      <c r="G457" s="5">
        <v>22.62</v>
      </c>
      <c r="H457" s="4">
        <v>1</v>
      </c>
    </row>
    <row r="458" spans="1:8" x14ac:dyDescent="0.2">
      <c r="A458" s="2" t="s">
        <v>82</v>
      </c>
      <c r="B458" s="4">
        <v>8</v>
      </c>
      <c r="C458" s="5">
        <v>0.88</v>
      </c>
      <c r="D458" s="4">
        <v>3</v>
      </c>
      <c r="E458" s="5">
        <v>0.59</v>
      </c>
      <c r="F458" s="4">
        <v>5</v>
      </c>
      <c r="G458" s="5">
        <v>1.29</v>
      </c>
      <c r="H458" s="4">
        <v>0</v>
      </c>
    </row>
    <row r="459" spans="1:8" x14ac:dyDescent="0.2">
      <c r="A459" s="2" t="s">
        <v>83</v>
      </c>
      <c r="B459" s="4">
        <v>43</v>
      </c>
      <c r="C459" s="5">
        <v>4.75</v>
      </c>
      <c r="D459" s="4">
        <v>13</v>
      </c>
      <c r="E459" s="5">
        <v>2.57</v>
      </c>
      <c r="F459" s="4">
        <v>29</v>
      </c>
      <c r="G459" s="5">
        <v>7.46</v>
      </c>
      <c r="H459" s="4">
        <v>0</v>
      </c>
    </row>
    <row r="460" spans="1:8" x14ac:dyDescent="0.2">
      <c r="A460" s="2" t="s">
        <v>84</v>
      </c>
      <c r="B460" s="4">
        <v>41</v>
      </c>
      <c r="C460" s="5">
        <v>4.53</v>
      </c>
      <c r="D460" s="4">
        <v>26</v>
      </c>
      <c r="E460" s="5">
        <v>5.14</v>
      </c>
      <c r="F460" s="4">
        <v>14</v>
      </c>
      <c r="G460" s="5">
        <v>3.6</v>
      </c>
      <c r="H460" s="4">
        <v>0</v>
      </c>
    </row>
    <row r="461" spans="1:8" x14ac:dyDescent="0.2">
      <c r="A461" s="2" t="s">
        <v>85</v>
      </c>
      <c r="B461" s="4">
        <v>73</v>
      </c>
      <c r="C461" s="5">
        <v>8.06</v>
      </c>
      <c r="D461" s="4">
        <v>58</v>
      </c>
      <c r="E461" s="5">
        <v>11.46</v>
      </c>
      <c r="F461" s="4">
        <v>15</v>
      </c>
      <c r="G461" s="5">
        <v>3.86</v>
      </c>
      <c r="H461" s="4">
        <v>0</v>
      </c>
    </row>
    <row r="462" spans="1:8" x14ac:dyDescent="0.2">
      <c r="A462" s="2" t="s">
        <v>86</v>
      </c>
      <c r="B462" s="4">
        <v>149</v>
      </c>
      <c r="C462" s="5">
        <v>16.45</v>
      </c>
      <c r="D462" s="4">
        <v>122</v>
      </c>
      <c r="E462" s="5">
        <v>24.11</v>
      </c>
      <c r="F462" s="4">
        <v>25</v>
      </c>
      <c r="G462" s="5">
        <v>6.43</v>
      </c>
      <c r="H462" s="4">
        <v>1</v>
      </c>
    </row>
    <row r="463" spans="1:8" x14ac:dyDescent="0.2">
      <c r="A463" s="2" t="s">
        <v>87</v>
      </c>
      <c r="B463" s="4">
        <v>36</v>
      </c>
      <c r="C463" s="5">
        <v>3.97</v>
      </c>
      <c r="D463" s="4">
        <v>29</v>
      </c>
      <c r="E463" s="5">
        <v>5.73</v>
      </c>
      <c r="F463" s="4">
        <v>6</v>
      </c>
      <c r="G463" s="5">
        <v>1.54</v>
      </c>
      <c r="H463" s="4">
        <v>1</v>
      </c>
    </row>
    <row r="464" spans="1:8" x14ac:dyDescent="0.2">
      <c r="A464" s="2" t="s">
        <v>88</v>
      </c>
      <c r="B464" s="4">
        <v>51</v>
      </c>
      <c r="C464" s="5">
        <v>5.63</v>
      </c>
      <c r="D464" s="4">
        <v>35</v>
      </c>
      <c r="E464" s="5">
        <v>6.92</v>
      </c>
      <c r="F464" s="4">
        <v>16</v>
      </c>
      <c r="G464" s="5">
        <v>4.1100000000000003</v>
      </c>
      <c r="H464" s="4">
        <v>0</v>
      </c>
    </row>
    <row r="465" spans="1:8" x14ac:dyDescent="0.2">
      <c r="A465" s="2" t="s">
        <v>89</v>
      </c>
      <c r="B465" s="4">
        <v>29</v>
      </c>
      <c r="C465" s="5">
        <v>3.2</v>
      </c>
      <c r="D465" s="4">
        <v>17</v>
      </c>
      <c r="E465" s="5">
        <v>3.36</v>
      </c>
      <c r="F465" s="4">
        <v>10</v>
      </c>
      <c r="G465" s="5">
        <v>2.57</v>
      </c>
      <c r="H465" s="4">
        <v>1</v>
      </c>
    </row>
    <row r="466" spans="1:8" x14ac:dyDescent="0.2">
      <c r="A466" s="1" t="s">
        <v>29</v>
      </c>
      <c r="B466" s="4">
        <v>843</v>
      </c>
      <c r="C466" s="5">
        <v>99.99</v>
      </c>
      <c r="D466" s="4">
        <v>491</v>
      </c>
      <c r="E466" s="5">
        <v>99.990000000000009</v>
      </c>
      <c r="F466" s="4">
        <v>339</v>
      </c>
      <c r="G466" s="5">
        <v>99.96</v>
      </c>
      <c r="H466" s="4">
        <v>2</v>
      </c>
    </row>
    <row r="467" spans="1:8" x14ac:dyDescent="0.2">
      <c r="A467" s="2" t="s">
        <v>75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2">
      <c r="A468" s="2" t="s">
        <v>76</v>
      </c>
      <c r="B468" s="4">
        <v>92</v>
      </c>
      <c r="C468" s="5">
        <v>10.91</v>
      </c>
      <c r="D468" s="4">
        <v>35</v>
      </c>
      <c r="E468" s="5">
        <v>7.13</v>
      </c>
      <c r="F468" s="4">
        <v>57</v>
      </c>
      <c r="G468" s="5">
        <v>16.809999999999999</v>
      </c>
      <c r="H468" s="4">
        <v>0</v>
      </c>
    </row>
    <row r="469" spans="1:8" x14ac:dyDescent="0.2">
      <c r="A469" s="2" t="s">
        <v>77</v>
      </c>
      <c r="B469" s="4">
        <v>24</v>
      </c>
      <c r="C469" s="5">
        <v>2.85</v>
      </c>
      <c r="D469" s="4">
        <v>11</v>
      </c>
      <c r="E469" s="5">
        <v>2.2400000000000002</v>
      </c>
      <c r="F469" s="4">
        <v>12</v>
      </c>
      <c r="G469" s="5">
        <v>3.54</v>
      </c>
      <c r="H469" s="4">
        <v>1</v>
      </c>
    </row>
    <row r="470" spans="1:8" x14ac:dyDescent="0.2">
      <c r="A470" s="2" t="s">
        <v>78</v>
      </c>
      <c r="B470" s="4">
        <v>1</v>
      </c>
      <c r="C470" s="5">
        <v>0.12</v>
      </c>
      <c r="D470" s="4">
        <v>0</v>
      </c>
      <c r="E470" s="5">
        <v>0</v>
      </c>
      <c r="F470" s="4">
        <v>1</v>
      </c>
      <c r="G470" s="5">
        <v>0.28999999999999998</v>
      </c>
      <c r="H470" s="4">
        <v>0</v>
      </c>
    </row>
    <row r="471" spans="1:8" x14ac:dyDescent="0.2">
      <c r="A471" s="2" t="s">
        <v>79</v>
      </c>
      <c r="B471" s="4">
        <v>8</v>
      </c>
      <c r="C471" s="5">
        <v>0.95</v>
      </c>
      <c r="D471" s="4">
        <v>0</v>
      </c>
      <c r="E471" s="5">
        <v>0</v>
      </c>
      <c r="F471" s="4">
        <v>8</v>
      </c>
      <c r="G471" s="5">
        <v>2.36</v>
      </c>
      <c r="H471" s="4">
        <v>0</v>
      </c>
    </row>
    <row r="472" spans="1:8" x14ac:dyDescent="0.2">
      <c r="A472" s="2" t="s">
        <v>80</v>
      </c>
      <c r="B472" s="4">
        <v>5</v>
      </c>
      <c r="C472" s="5">
        <v>0.59</v>
      </c>
      <c r="D472" s="4">
        <v>0</v>
      </c>
      <c r="E472" s="5">
        <v>0</v>
      </c>
      <c r="F472" s="4">
        <v>5</v>
      </c>
      <c r="G472" s="5">
        <v>1.47</v>
      </c>
      <c r="H472" s="4">
        <v>0</v>
      </c>
    </row>
    <row r="473" spans="1:8" x14ac:dyDescent="0.2">
      <c r="A473" s="2" t="s">
        <v>81</v>
      </c>
      <c r="B473" s="4">
        <v>208</v>
      </c>
      <c r="C473" s="5">
        <v>24.67</v>
      </c>
      <c r="D473" s="4">
        <v>104</v>
      </c>
      <c r="E473" s="5">
        <v>21.18</v>
      </c>
      <c r="F473" s="4">
        <v>103</v>
      </c>
      <c r="G473" s="5">
        <v>30.38</v>
      </c>
      <c r="H473" s="4">
        <v>1</v>
      </c>
    </row>
    <row r="474" spans="1:8" x14ac:dyDescent="0.2">
      <c r="A474" s="2" t="s">
        <v>82</v>
      </c>
      <c r="B474" s="4">
        <v>7</v>
      </c>
      <c r="C474" s="5">
        <v>0.83</v>
      </c>
      <c r="D474" s="4">
        <v>2</v>
      </c>
      <c r="E474" s="5">
        <v>0.41</v>
      </c>
      <c r="F474" s="4">
        <v>5</v>
      </c>
      <c r="G474" s="5">
        <v>1.47</v>
      </c>
      <c r="H474" s="4">
        <v>0</v>
      </c>
    </row>
    <row r="475" spans="1:8" x14ac:dyDescent="0.2">
      <c r="A475" s="2" t="s">
        <v>83</v>
      </c>
      <c r="B475" s="4">
        <v>103</v>
      </c>
      <c r="C475" s="5">
        <v>12.22</v>
      </c>
      <c r="D475" s="4">
        <v>61</v>
      </c>
      <c r="E475" s="5">
        <v>12.42</v>
      </c>
      <c r="F475" s="4">
        <v>42</v>
      </c>
      <c r="G475" s="5">
        <v>12.39</v>
      </c>
      <c r="H475" s="4">
        <v>0</v>
      </c>
    </row>
    <row r="476" spans="1:8" x14ac:dyDescent="0.2">
      <c r="A476" s="2" t="s">
        <v>84</v>
      </c>
      <c r="B476" s="4">
        <v>50</v>
      </c>
      <c r="C476" s="5">
        <v>5.93</v>
      </c>
      <c r="D476" s="4">
        <v>21</v>
      </c>
      <c r="E476" s="5">
        <v>4.28</v>
      </c>
      <c r="F476" s="4">
        <v>28</v>
      </c>
      <c r="G476" s="5">
        <v>8.26</v>
      </c>
      <c r="H476" s="4">
        <v>0</v>
      </c>
    </row>
    <row r="477" spans="1:8" x14ac:dyDescent="0.2">
      <c r="A477" s="2" t="s">
        <v>85</v>
      </c>
      <c r="B477" s="4">
        <v>86</v>
      </c>
      <c r="C477" s="5">
        <v>10.199999999999999</v>
      </c>
      <c r="D477" s="4">
        <v>75</v>
      </c>
      <c r="E477" s="5">
        <v>15.27</v>
      </c>
      <c r="F477" s="4">
        <v>11</v>
      </c>
      <c r="G477" s="5">
        <v>3.24</v>
      </c>
      <c r="H477" s="4">
        <v>0</v>
      </c>
    </row>
    <row r="478" spans="1:8" x14ac:dyDescent="0.2">
      <c r="A478" s="2" t="s">
        <v>86</v>
      </c>
      <c r="B478" s="4">
        <v>118</v>
      </c>
      <c r="C478" s="5">
        <v>14</v>
      </c>
      <c r="D478" s="4">
        <v>94</v>
      </c>
      <c r="E478" s="5">
        <v>19.14</v>
      </c>
      <c r="F478" s="4">
        <v>23</v>
      </c>
      <c r="G478" s="5">
        <v>6.78</v>
      </c>
      <c r="H478" s="4">
        <v>0</v>
      </c>
    </row>
    <row r="479" spans="1:8" x14ac:dyDescent="0.2">
      <c r="A479" s="2" t="s">
        <v>87</v>
      </c>
      <c r="B479" s="4">
        <v>41</v>
      </c>
      <c r="C479" s="5">
        <v>4.8600000000000003</v>
      </c>
      <c r="D479" s="4">
        <v>33</v>
      </c>
      <c r="E479" s="5">
        <v>6.72</v>
      </c>
      <c r="F479" s="4">
        <v>8</v>
      </c>
      <c r="G479" s="5">
        <v>2.36</v>
      </c>
      <c r="H479" s="4">
        <v>0</v>
      </c>
    </row>
    <row r="480" spans="1:8" x14ac:dyDescent="0.2">
      <c r="A480" s="2" t="s">
        <v>88</v>
      </c>
      <c r="B480" s="4">
        <v>52</v>
      </c>
      <c r="C480" s="5">
        <v>6.17</v>
      </c>
      <c r="D480" s="4">
        <v>31</v>
      </c>
      <c r="E480" s="5">
        <v>6.31</v>
      </c>
      <c r="F480" s="4">
        <v>21</v>
      </c>
      <c r="G480" s="5">
        <v>6.19</v>
      </c>
      <c r="H480" s="4">
        <v>0</v>
      </c>
    </row>
    <row r="481" spans="1:8" x14ac:dyDescent="0.2">
      <c r="A481" s="2" t="s">
        <v>89</v>
      </c>
      <c r="B481" s="4">
        <v>48</v>
      </c>
      <c r="C481" s="5">
        <v>5.69</v>
      </c>
      <c r="D481" s="4">
        <v>24</v>
      </c>
      <c r="E481" s="5">
        <v>4.8899999999999997</v>
      </c>
      <c r="F481" s="4">
        <v>15</v>
      </c>
      <c r="G481" s="5">
        <v>4.42</v>
      </c>
      <c r="H481" s="4">
        <v>0</v>
      </c>
    </row>
    <row r="482" spans="1:8" x14ac:dyDescent="0.2">
      <c r="A482" s="1" t="s">
        <v>30</v>
      </c>
      <c r="B482" s="4">
        <v>1743</v>
      </c>
      <c r="C482" s="5">
        <v>100.00999999999999</v>
      </c>
      <c r="D482" s="4">
        <v>799</v>
      </c>
      <c r="E482" s="5">
        <v>100.01</v>
      </c>
      <c r="F482" s="4">
        <v>928</v>
      </c>
      <c r="G482" s="5">
        <v>100.00999999999999</v>
      </c>
      <c r="H482" s="4">
        <v>3</v>
      </c>
    </row>
    <row r="483" spans="1:8" x14ac:dyDescent="0.2">
      <c r="A483" s="2" t="s">
        <v>75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2">
      <c r="A484" s="2" t="s">
        <v>76</v>
      </c>
      <c r="B484" s="4">
        <v>256</v>
      </c>
      <c r="C484" s="5">
        <v>14.69</v>
      </c>
      <c r="D484" s="4">
        <v>67</v>
      </c>
      <c r="E484" s="5">
        <v>8.39</v>
      </c>
      <c r="F484" s="4">
        <v>189</v>
      </c>
      <c r="G484" s="5">
        <v>20.37</v>
      </c>
      <c r="H484" s="4">
        <v>0</v>
      </c>
    </row>
    <row r="485" spans="1:8" x14ac:dyDescent="0.2">
      <c r="A485" s="2" t="s">
        <v>77</v>
      </c>
      <c r="B485" s="4">
        <v>56</v>
      </c>
      <c r="C485" s="5">
        <v>3.21</v>
      </c>
      <c r="D485" s="4">
        <v>21</v>
      </c>
      <c r="E485" s="5">
        <v>2.63</v>
      </c>
      <c r="F485" s="4">
        <v>35</v>
      </c>
      <c r="G485" s="5">
        <v>3.77</v>
      </c>
      <c r="H485" s="4">
        <v>0</v>
      </c>
    </row>
    <row r="486" spans="1:8" x14ac:dyDescent="0.2">
      <c r="A486" s="2" t="s">
        <v>78</v>
      </c>
      <c r="B486" s="4">
        <v>7</v>
      </c>
      <c r="C486" s="5">
        <v>0.4</v>
      </c>
      <c r="D486" s="4">
        <v>0</v>
      </c>
      <c r="E486" s="5">
        <v>0</v>
      </c>
      <c r="F486" s="4">
        <v>6</v>
      </c>
      <c r="G486" s="5">
        <v>0.65</v>
      </c>
      <c r="H486" s="4">
        <v>0</v>
      </c>
    </row>
    <row r="487" spans="1:8" x14ac:dyDescent="0.2">
      <c r="A487" s="2" t="s">
        <v>79</v>
      </c>
      <c r="B487" s="4">
        <v>24</v>
      </c>
      <c r="C487" s="5">
        <v>1.38</v>
      </c>
      <c r="D487" s="4">
        <v>0</v>
      </c>
      <c r="E487" s="5">
        <v>0</v>
      </c>
      <c r="F487" s="4">
        <v>24</v>
      </c>
      <c r="G487" s="5">
        <v>2.59</v>
      </c>
      <c r="H487" s="4">
        <v>0</v>
      </c>
    </row>
    <row r="488" spans="1:8" x14ac:dyDescent="0.2">
      <c r="A488" s="2" t="s">
        <v>80</v>
      </c>
      <c r="B488" s="4">
        <v>13</v>
      </c>
      <c r="C488" s="5">
        <v>0.75</v>
      </c>
      <c r="D488" s="4">
        <v>5</v>
      </c>
      <c r="E488" s="5">
        <v>0.63</v>
      </c>
      <c r="F488" s="4">
        <v>7</v>
      </c>
      <c r="G488" s="5">
        <v>0.75</v>
      </c>
      <c r="H488" s="4">
        <v>1</v>
      </c>
    </row>
    <row r="489" spans="1:8" x14ac:dyDescent="0.2">
      <c r="A489" s="2" t="s">
        <v>81</v>
      </c>
      <c r="B489" s="4">
        <v>446</v>
      </c>
      <c r="C489" s="5">
        <v>25.59</v>
      </c>
      <c r="D489" s="4">
        <v>158</v>
      </c>
      <c r="E489" s="5">
        <v>19.77</v>
      </c>
      <c r="F489" s="4">
        <v>288</v>
      </c>
      <c r="G489" s="5">
        <v>31.03</v>
      </c>
      <c r="H489" s="4">
        <v>0</v>
      </c>
    </row>
    <row r="490" spans="1:8" x14ac:dyDescent="0.2">
      <c r="A490" s="2" t="s">
        <v>82</v>
      </c>
      <c r="B490" s="4">
        <v>11</v>
      </c>
      <c r="C490" s="5">
        <v>0.63</v>
      </c>
      <c r="D490" s="4">
        <v>2</v>
      </c>
      <c r="E490" s="5">
        <v>0.25</v>
      </c>
      <c r="F490" s="4">
        <v>9</v>
      </c>
      <c r="G490" s="5">
        <v>0.97</v>
      </c>
      <c r="H490" s="4">
        <v>0</v>
      </c>
    </row>
    <row r="491" spans="1:8" x14ac:dyDescent="0.2">
      <c r="A491" s="2" t="s">
        <v>83</v>
      </c>
      <c r="B491" s="4">
        <v>190</v>
      </c>
      <c r="C491" s="5">
        <v>10.9</v>
      </c>
      <c r="D491" s="4">
        <v>55</v>
      </c>
      <c r="E491" s="5">
        <v>6.88</v>
      </c>
      <c r="F491" s="4">
        <v>135</v>
      </c>
      <c r="G491" s="5">
        <v>14.55</v>
      </c>
      <c r="H491" s="4">
        <v>0</v>
      </c>
    </row>
    <row r="492" spans="1:8" x14ac:dyDescent="0.2">
      <c r="A492" s="2" t="s">
        <v>84</v>
      </c>
      <c r="B492" s="4">
        <v>115</v>
      </c>
      <c r="C492" s="5">
        <v>6.6</v>
      </c>
      <c r="D492" s="4">
        <v>68</v>
      </c>
      <c r="E492" s="5">
        <v>8.51</v>
      </c>
      <c r="F492" s="4">
        <v>47</v>
      </c>
      <c r="G492" s="5">
        <v>5.0599999999999996</v>
      </c>
      <c r="H492" s="4">
        <v>0</v>
      </c>
    </row>
    <row r="493" spans="1:8" x14ac:dyDescent="0.2">
      <c r="A493" s="2" t="s">
        <v>85</v>
      </c>
      <c r="B493" s="4">
        <v>197</v>
      </c>
      <c r="C493" s="5">
        <v>11.3</v>
      </c>
      <c r="D493" s="4">
        <v>165</v>
      </c>
      <c r="E493" s="5">
        <v>20.65</v>
      </c>
      <c r="F493" s="4">
        <v>32</v>
      </c>
      <c r="G493" s="5">
        <v>3.45</v>
      </c>
      <c r="H493" s="4">
        <v>0</v>
      </c>
    </row>
    <row r="494" spans="1:8" x14ac:dyDescent="0.2">
      <c r="A494" s="2" t="s">
        <v>86</v>
      </c>
      <c r="B494" s="4">
        <v>228</v>
      </c>
      <c r="C494" s="5">
        <v>13.08</v>
      </c>
      <c r="D494" s="4">
        <v>160</v>
      </c>
      <c r="E494" s="5">
        <v>20.03</v>
      </c>
      <c r="F494" s="4">
        <v>68</v>
      </c>
      <c r="G494" s="5">
        <v>7.33</v>
      </c>
      <c r="H494" s="4">
        <v>0</v>
      </c>
    </row>
    <row r="495" spans="1:8" x14ac:dyDescent="0.2">
      <c r="A495" s="2" t="s">
        <v>87</v>
      </c>
      <c r="B495" s="4">
        <v>60</v>
      </c>
      <c r="C495" s="5">
        <v>3.44</v>
      </c>
      <c r="D495" s="4">
        <v>38</v>
      </c>
      <c r="E495" s="5">
        <v>4.76</v>
      </c>
      <c r="F495" s="4">
        <v>20</v>
      </c>
      <c r="G495" s="5">
        <v>2.16</v>
      </c>
      <c r="H495" s="4">
        <v>1</v>
      </c>
    </row>
    <row r="496" spans="1:8" x14ac:dyDescent="0.2">
      <c r="A496" s="2" t="s">
        <v>88</v>
      </c>
      <c r="B496" s="4">
        <v>78</v>
      </c>
      <c r="C496" s="5">
        <v>4.4800000000000004</v>
      </c>
      <c r="D496" s="4">
        <v>49</v>
      </c>
      <c r="E496" s="5">
        <v>6.13</v>
      </c>
      <c r="F496" s="4">
        <v>24</v>
      </c>
      <c r="G496" s="5">
        <v>2.59</v>
      </c>
      <c r="H496" s="4">
        <v>0</v>
      </c>
    </row>
    <row r="497" spans="1:8" x14ac:dyDescent="0.2">
      <c r="A497" s="2" t="s">
        <v>89</v>
      </c>
      <c r="B497" s="4">
        <v>62</v>
      </c>
      <c r="C497" s="5">
        <v>3.56</v>
      </c>
      <c r="D497" s="4">
        <v>11</v>
      </c>
      <c r="E497" s="5">
        <v>1.38</v>
      </c>
      <c r="F497" s="4">
        <v>44</v>
      </c>
      <c r="G497" s="5">
        <v>4.74</v>
      </c>
      <c r="H497" s="4">
        <v>1</v>
      </c>
    </row>
    <row r="498" spans="1:8" x14ac:dyDescent="0.2">
      <c r="A498" s="1" t="s">
        <v>31</v>
      </c>
      <c r="B498" s="4">
        <v>1950</v>
      </c>
      <c r="C498" s="5">
        <v>99.99</v>
      </c>
      <c r="D498" s="4">
        <v>958</v>
      </c>
      <c r="E498" s="5">
        <v>99.99</v>
      </c>
      <c r="F498" s="4">
        <v>965</v>
      </c>
      <c r="G498" s="5">
        <v>100.00999999999999</v>
      </c>
      <c r="H498" s="4">
        <v>24</v>
      </c>
    </row>
    <row r="499" spans="1:8" x14ac:dyDescent="0.2">
      <c r="A499" s="2" t="s">
        <v>75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2">
      <c r="A500" s="2" t="s">
        <v>76</v>
      </c>
      <c r="B500" s="4">
        <v>299</v>
      </c>
      <c r="C500" s="5">
        <v>15.33</v>
      </c>
      <c r="D500" s="4">
        <v>67</v>
      </c>
      <c r="E500" s="5">
        <v>6.99</v>
      </c>
      <c r="F500" s="4">
        <v>232</v>
      </c>
      <c r="G500" s="5">
        <v>24.04</v>
      </c>
      <c r="H500" s="4">
        <v>0</v>
      </c>
    </row>
    <row r="501" spans="1:8" x14ac:dyDescent="0.2">
      <c r="A501" s="2" t="s">
        <v>77</v>
      </c>
      <c r="B501" s="4">
        <v>67</v>
      </c>
      <c r="C501" s="5">
        <v>3.44</v>
      </c>
      <c r="D501" s="4">
        <v>26</v>
      </c>
      <c r="E501" s="5">
        <v>2.71</v>
      </c>
      <c r="F501" s="4">
        <v>41</v>
      </c>
      <c r="G501" s="5">
        <v>4.25</v>
      </c>
      <c r="H501" s="4">
        <v>0</v>
      </c>
    </row>
    <row r="502" spans="1:8" x14ac:dyDescent="0.2">
      <c r="A502" s="2" t="s">
        <v>78</v>
      </c>
      <c r="B502" s="4">
        <v>0</v>
      </c>
      <c r="C502" s="5">
        <v>0</v>
      </c>
      <c r="D502" s="4">
        <v>0</v>
      </c>
      <c r="E502" s="5">
        <v>0</v>
      </c>
      <c r="F502" s="4">
        <v>0</v>
      </c>
      <c r="G502" s="5">
        <v>0</v>
      </c>
      <c r="H502" s="4">
        <v>0</v>
      </c>
    </row>
    <row r="503" spans="1:8" x14ac:dyDescent="0.2">
      <c r="A503" s="2" t="s">
        <v>79</v>
      </c>
      <c r="B503" s="4">
        <v>20</v>
      </c>
      <c r="C503" s="5">
        <v>1.03</v>
      </c>
      <c r="D503" s="4">
        <v>1</v>
      </c>
      <c r="E503" s="5">
        <v>0.1</v>
      </c>
      <c r="F503" s="4">
        <v>19</v>
      </c>
      <c r="G503" s="5">
        <v>1.97</v>
      </c>
      <c r="H503" s="4">
        <v>0</v>
      </c>
    </row>
    <row r="504" spans="1:8" x14ac:dyDescent="0.2">
      <c r="A504" s="2" t="s">
        <v>80</v>
      </c>
      <c r="B504" s="4">
        <v>13</v>
      </c>
      <c r="C504" s="5">
        <v>0.67</v>
      </c>
      <c r="D504" s="4">
        <v>8</v>
      </c>
      <c r="E504" s="5">
        <v>0.84</v>
      </c>
      <c r="F504" s="4">
        <v>5</v>
      </c>
      <c r="G504" s="5">
        <v>0.52</v>
      </c>
      <c r="H504" s="4">
        <v>0</v>
      </c>
    </row>
    <row r="505" spans="1:8" x14ac:dyDescent="0.2">
      <c r="A505" s="2" t="s">
        <v>81</v>
      </c>
      <c r="B505" s="4">
        <v>451</v>
      </c>
      <c r="C505" s="5">
        <v>23.13</v>
      </c>
      <c r="D505" s="4">
        <v>177</v>
      </c>
      <c r="E505" s="5">
        <v>18.48</v>
      </c>
      <c r="F505" s="4">
        <v>269</v>
      </c>
      <c r="G505" s="5">
        <v>27.88</v>
      </c>
      <c r="H505" s="4">
        <v>5</v>
      </c>
    </row>
    <row r="506" spans="1:8" x14ac:dyDescent="0.2">
      <c r="A506" s="2" t="s">
        <v>82</v>
      </c>
      <c r="B506" s="4">
        <v>19</v>
      </c>
      <c r="C506" s="5">
        <v>0.97</v>
      </c>
      <c r="D506" s="4">
        <v>3</v>
      </c>
      <c r="E506" s="5">
        <v>0.31</v>
      </c>
      <c r="F506" s="4">
        <v>16</v>
      </c>
      <c r="G506" s="5">
        <v>1.66</v>
      </c>
      <c r="H506" s="4">
        <v>0</v>
      </c>
    </row>
    <row r="507" spans="1:8" x14ac:dyDescent="0.2">
      <c r="A507" s="2" t="s">
        <v>83</v>
      </c>
      <c r="B507" s="4">
        <v>230</v>
      </c>
      <c r="C507" s="5">
        <v>11.79</v>
      </c>
      <c r="D507" s="4">
        <v>91</v>
      </c>
      <c r="E507" s="5">
        <v>9.5</v>
      </c>
      <c r="F507" s="4">
        <v>138</v>
      </c>
      <c r="G507" s="5">
        <v>14.3</v>
      </c>
      <c r="H507" s="4">
        <v>0</v>
      </c>
    </row>
    <row r="508" spans="1:8" x14ac:dyDescent="0.2">
      <c r="A508" s="2" t="s">
        <v>84</v>
      </c>
      <c r="B508" s="4">
        <v>112</v>
      </c>
      <c r="C508" s="5">
        <v>5.74</v>
      </c>
      <c r="D508" s="4">
        <v>47</v>
      </c>
      <c r="E508" s="5">
        <v>4.91</v>
      </c>
      <c r="F508" s="4">
        <v>64</v>
      </c>
      <c r="G508" s="5">
        <v>6.63</v>
      </c>
      <c r="H508" s="4">
        <v>1</v>
      </c>
    </row>
    <row r="509" spans="1:8" x14ac:dyDescent="0.2">
      <c r="A509" s="2" t="s">
        <v>85</v>
      </c>
      <c r="B509" s="4">
        <v>212</v>
      </c>
      <c r="C509" s="5">
        <v>10.87</v>
      </c>
      <c r="D509" s="4">
        <v>188</v>
      </c>
      <c r="E509" s="5">
        <v>19.62</v>
      </c>
      <c r="F509" s="4">
        <v>24</v>
      </c>
      <c r="G509" s="5">
        <v>2.4900000000000002</v>
      </c>
      <c r="H509" s="4">
        <v>0</v>
      </c>
    </row>
    <row r="510" spans="1:8" x14ac:dyDescent="0.2">
      <c r="A510" s="2" t="s">
        <v>86</v>
      </c>
      <c r="B510" s="4">
        <v>276</v>
      </c>
      <c r="C510" s="5">
        <v>14.15</v>
      </c>
      <c r="D510" s="4">
        <v>206</v>
      </c>
      <c r="E510" s="5">
        <v>21.5</v>
      </c>
      <c r="F510" s="4">
        <v>70</v>
      </c>
      <c r="G510" s="5">
        <v>7.25</v>
      </c>
      <c r="H510" s="4">
        <v>0</v>
      </c>
    </row>
    <row r="511" spans="1:8" x14ac:dyDescent="0.2">
      <c r="A511" s="2" t="s">
        <v>87</v>
      </c>
      <c r="B511" s="4">
        <v>104</v>
      </c>
      <c r="C511" s="5">
        <v>5.33</v>
      </c>
      <c r="D511" s="4">
        <v>69</v>
      </c>
      <c r="E511" s="5">
        <v>7.2</v>
      </c>
      <c r="F511" s="4">
        <v>21</v>
      </c>
      <c r="G511" s="5">
        <v>2.1800000000000002</v>
      </c>
      <c r="H511" s="4">
        <v>14</v>
      </c>
    </row>
    <row r="512" spans="1:8" x14ac:dyDescent="0.2">
      <c r="A512" s="2" t="s">
        <v>88</v>
      </c>
      <c r="B512" s="4">
        <v>82</v>
      </c>
      <c r="C512" s="5">
        <v>4.21</v>
      </c>
      <c r="D512" s="4">
        <v>53</v>
      </c>
      <c r="E512" s="5">
        <v>5.53</v>
      </c>
      <c r="F512" s="4">
        <v>29</v>
      </c>
      <c r="G512" s="5">
        <v>3.01</v>
      </c>
      <c r="H512" s="4">
        <v>0</v>
      </c>
    </row>
    <row r="513" spans="1:8" x14ac:dyDescent="0.2">
      <c r="A513" s="2" t="s">
        <v>89</v>
      </c>
      <c r="B513" s="4">
        <v>65</v>
      </c>
      <c r="C513" s="5">
        <v>3.33</v>
      </c>
      <c r="D513" s="4">
        <v>22</v>
      </c>
      <c r="E513" s="5">
        <v>2.2999999999999998</v>
      </c>
      <c r="F513" s="4">
        <v>37</v>
      </c>
      <c r="G513" s="5">
        <v>3.83</v>
      </c>
      <c r="H513" s="4">
        <v>4</v>
      </c>
    </row>
    <row r="514" spans="1:8" x14ac:dyDescent="0.2">
      <c r="A514" s="1" t="s">
        <v>32</v>
      </c>
      <c r="B514" s="4">
        <v>2200</v>
      </c>
      <c r="C514" s="5">
        <v>99.99</v>
      </c>
      <c r="D514" s="4">
        <v>875</v>
      </c>
      <c r="E514" s="5">
        <v>100</v>
      </c>
      <c r="F514" s="4">
        <v>1297</v>
      </c>
      <c r="G514" s="5">
        <v>100.01</v>
      </c>
      <c r="H514" s="4">
        <v>26</v>
      </c>
    </row>
    <row r="515" spans="1:8" x14ac:dyDescent="0.2">
      <c r="A515" s="2" t="s">
        <v>75</v>
      </c>
      <c r="B515" s="4">
        <v>0</v>
      </c>
      <c r="C515" s="5">
        <v>0</v>
      </c>
      <c r="D515" s="4">
        <v>0</v>
      </c>
      <c r="E515" s="5">
        <v>0</v>
      </c>
      <c r="F515" s="4">
        <v>0</v>
      </c>
      <c r="G515" s="5">
        <v>0</v>
      </c>
      <c r="H515" s="4">
        <v>0</v>
      </c>
    </row>
    <row r="516" spans="1:8" x14ac:dyDescent="0.2">
      <c r="A516" s="2" t="s">
        <v>76</v>
      </c>
      <c r="B516" s="4">
        <v>365</v>
      </c>
      <c r="C516" s="5">
        <v>16.59</v>
      </c>
      <c r="D516" s="4">
        <v>67</v>
      </c>
      <c r="E516" s="5">
        <v>7.66</v>
      </c>
      <c r="F516" s="4">
        <v>298</v>
      </c>
      <c r="G516" s="5">
        <v>22.98</v>
      </c>
      <c r="H516" s="4">
        <v>0</v>
      </c>
    </row>
    <row r="517" spans="1:8" x14ac:dyDescent="0.2">
      <c r="A517" s="2" t="s">
        <v>77</v>
      </c>
      <c r="B517" s="4">
        <v>214</v>
      </c>
      <c r="C517" s="5">
        <v>9.73</v>
      </c>
      <c r="D517" s="4">
        <v>59</v>
      </c>
      <c r="E517" s="5">
        <v>6.74</v>
      </c>
      <c r="F517" s="4">
        <v>155</v>
      </c>
      <c r="G517" s="5">
        <v>11.95</v>
      </c>
      <c r="H517" s="4">
        <v>0</v>
      </c>
    </row>
    <row r="518" spans="1:8" x14ac:dyDescent="0.2">
      <c r="A518" s="2" t="s">
        <v>78</v>
      </c>
      <c r="B518" s="4">
        <v>1</v>
      </c>
      <c r="C518" s="5">
        <v>0.05</v>
      </c>
      <c r="D518" s="4">
        <v>0</v>
      </c>
      <c r="E518" s="5">
        <v>0</v>
      </c>
      <c r="F518" s="4">
        <v>0</v>
      </c>
      <c r="G518" s="5">
        <v>0</v>
      </c>
      <c r="H518" s="4">
        <v>0</v>
      </c>
    </row>
    <row r="519" spans="1:8" x14ac:dyDescent="0.2">
      <c r="A519" s="2" t="s">
        <v>79</v>
      </c>
      <c r="B519" s="4">
        <v>19</v>
      </c>
      <c r="C519" s="5">
        <v>0.86</v>
      </c>
      <c r="D519" s="4">
        <v>0</v>
      </c>
      <c r="E519" s="5">
        <v>0</v>
      </c>
      <c r="F519" s="4">
        <v>19</v>
      </c>
      <c r="G519" s="5">
        <v>1.46</v>
      </c>
      <c r="H519" s="4">
        <v>0</v>
      </c>
    </row>
    <row r="520" spans="1:8" x14ac:dyDescent="0.2">
      <c r="A520" s="2" t="s">
        <v>80</v>
      </c>
      <c r="B520" s="4">
        <v>22</v>
      </c>
      <c r="C520" s="5">
        <v>1</v>
      </c>
      <c r="D520" s="4">
        <v>13</v>
      </c>
      <c r="E520" s="5">
        <v>1.49</v>
      </c>
      <c r="F520" s="4">
        <v>9</v>
      </c>
      <c r="G520" s="5">
        <v>0.69</v>
      </c>
      <c r="H520" s="4">
        <v>0</v>
      </c>
    </row>
    <row r="521" spans="1:8" x14ac:dyDescent="0.2">
      <c r="A521" s="2" t="s">
        <v>81</v>
      </c>
      <c r="B521" s="4">
        <v>534</v>
      </c>
      <c r="C521" s="5">
        <v>24.27</v>
      </c>
      <c r="D521" s="4">
        <v>173</v>
      </c>
      <c r="E521" s="5">
        <v>19.77</v>
      </c>
      <c r="F521" s="4">
        <v>360</v>
      </c>
      <c r="G521" s="5">
        <v>27.76</v>
      </c>
      <c r="H521" s="4">
        <v>1</v>
      </c>
    </row>
    <row r="522" spans="1:8" x14ac:dyDescent="0.2">
      <c r="A522" s="2" t="s">
        <v>82</v>
      </c>
      <c r="B522" s="4">
        <v>7</v>
      </c>
      <c r="C522" s="5">
        <v>0.32</v>
      </c>
      <c r="D522" s="4">
        <v>3</v>
      </c>
      <c r="E522" s="5">
        <v>0.34</v>
      </c>
      <c r="F522" s="4">
        <v>4</v>
      </c>
      <c r="G522" s="5">
        <v>0.31</v>
      </c>
      <c r="H522" s="4">
        <v>0</v>
      </c>
    </row>
    <row r="523" spans="1:8" x14ac:dyDescent="0.2">
      <c r="A523" s="2" t="s">
        <v>83</v>
      </c>
      <c r="B523" s="4">
        <v>281</v>
      </c>
      <c r="C523" s="5">
        <v>12.77</v>
      </c>
      <c r="D523" s="4">
        <v>119</v>
      </c>
      <c r="E523" s="5">
        <v>13.6</v>
      </c>
      <c r="F523" s="4">
        <v>162</v>
      </c>
      <c r="G523" s="5">
        <v>12.49</v>
      </c>
      <c r="H523" s="4">
        <v>0</v>
      </c>
    </row>
    <row r="524" spans="1:8" x14ac:dyDescent="0.2">
      <c r="A524" s="2" t="s">
        <v>84</v>
      </c>
      <c r="B524" s="4">
        <v>97</v>
      </c>
      <c r="C524" s="5">
        <v>4.41</v>
      </c>
      <c r="D524" s="4">
        <v>34</v>
      </c>
      <c r="E524" s="5">
        <v>3.89</v>
      </c>
      <c r="F524" s="4">
        <v>63</v>
      </c>
      <c r="G524" s="5">
        <v>4.8600000000000003</v>
      </c>
      <c r="H524" s="4">
        <v>0</v>
      </c>
    </row>
    <row r="525" spans="1:8" x14ac:dyDescent="0.2">
      <c r="A525" s="2" t="s">
        <v>85</v>
      </c>
      <c r="B525" s="4">
        <v>137</v>
      </c>
      <c r="C525" s="5">
        <v>6.23</v>
      </c>
      <c r="D525" s="4">
        <v>106</v>
      </c>
      <c r="E525" s="5">
        <v>12.11</v>
      </c>
      <c r="F525" s="4">
        <v>31</v>
      </c>
      <c r="G525" s="5">
        <v>2.39</v>
      </c>
      <c r="H525" s="4">
        <v>0</v>
      </c>
    </row>
    <row r="526" spans="1:8" x14ac:dyDescent="0.2">
      <c r="A526" s="2" t="s">
        <v>86</v>
      </c>
      <c r="B526" s="4">
        <v>224</v>
      </c>
      <c r="C526" s="5">
        <v>10.18</v>
      </c>
      <c r="D526" s="4">
        <v>150</v>
      </c>
      <c r="E526" s="5">
        <v>17.14</v>
      </c>
      <c r="F526" s="4">
        <v>74</v>
      </c>
      <c r="G526" s="5">
        <v>5.71</v>
      </c>
      <c r="H526" s="4">
        <v>0</v>
      </c>
    </row>
    <row r="527" spans="1:8" x14ac:dyDescent="0.2">
      <c r="A527" s="2" t="s">
        <v>87</v>
      </c>
      <c r="B527" s="4">
        <v>87</v>
      </c>
      <c r="C527" s="5">
        <v>3.95</v>
      </c>
      <c r="D527" s="4">
        <v>46</v>
      </c>
      <c r="E527" s="5">
        <v>5.26</v>
      </c>
      <c r="F527" s="4">
        <v>16</v>
      </c>
      <c r="G527" s="5">
        <v>1.23</v>
      </c>
      <c r="H527" s="4">
        <v>25</v>
      </c>
    </row>
    <row r="528" spans="1:8" x14ac:dyDescent="0.2">
      <c r="A528" s="2" t="s">
        <v>88</v>
      </c>
      <c r="B528" s="4">
        <v>103</v>
      </c>
      <c r="C528" s="5">
        <v>4.68</v>
      </c>
      <c r="D528" s="4">
        <v>64</v>
      </c>
      <c r="E528" s="5">
        <v>7.31</v>
      </c>
      <c r="F528" s="4">
        <v>39</v>
      </c>
      <c r="G528" s="5">
        <v>3.01</v>
      </c>
      <c r="H528" s="4">
        <v>0</v>
      </c>
    </row>
    <row r="529" spans="1:8" x14ac:dyDescent="0.2">
      <c r="A529" s="2" t="s">
        <v>89</v>
      </c>
      <c r="B529" s="4">
        <v>109</v>
      </c>
      <c r="C529" s="5">
        <v>4.95</v>
      </c>
      <c r="D529" s="4">
        <v>41</v>
      </c>
      <c r="E529" s="5">
        <v>4.6900000000000004</v>
      </c>
      <c r="F529" s="4">
        <v>67</v>
      </c>
      <c r="G529" s="5">
        <v>5.17</v>
      </c>
      <c r="H529" s="4">
        <v>0</v>
      </c>
    </row>
    <row r="530" spans="1:8" x14ac:dyDescent="0.2">
      <c r="A530" s="1" t="s">
        <v>33</v>
      </c>
      <c r="B530" s="4">
        <v>1384</v>
      </c>
      <c r="C530" s="5">
        <v>99.990000000000009</v>
      </c>
      <c r="D530" s="4">
        <v>741</v>
      </c>
      <c r="E530" s="5">
        <v>99.990000000000009</v>
      </c>
      <c r="F530" s="4">
        <v>639</v>
      </c>
      <c r="G530" s="5">
        <v>100.01</v>
      </c>
      <c r="H530" s="4">
        <v>2</v>
      </c>
    </row>
    <row r="531" spans="1:8" x14ac:dyDescent="0.2">
      <c r="A531" s="2" t="s">
        <v>75</v>
      </c>
      <c r="B531" s="4">
        <v>1</v>
      </c>
      <c r="C531" s="5">
        <v>7.0000000000000007E-2</v>
      </c>
      <c r="D531" s="4">
        <v>0</v>
      </c>
      <c r="E531" s="5">
        <v>0</v>
      </c>
      <c r="F531" s="4">
        <v>1</v>
      </c>
      <c r="G531" s="5">
        <v>0.16</v>
      </c>
      <c r="H531" s="4">
        <v>0</v>
      </c>
    </row>
    <row r="532" spans="1:8" x14ac:dyDescent="0.2">
      <c r="A532" s="2" t="s">
        <v>76</v>
      </c>
      <c r="B532" s="4">
        <v>195</v>
      </c>
      <c r="C532" s="5">
        <v>14.09</v>
      </c>
      <c r="D532" s="4">
        <v>43</v>
      </c>
      <c r="E532" s="5">
        <v>5.8</v>
      </c>
      <c r="F532" s="4">
        <v>152</v>
      </c>
      <c r="G532" s="5">
        <v>23.79</v>
      </c>
      <c r="H532" s="4">
        <v>0</v>
      </c>
    </row>
    <row r="533" spans="1:8" x14ac:dyDescent="0.2">
      <c r="A533" s="2" t="s">
        <v>77</v>
      </c>
      <c r="B533" s="4">
        <v>67</v>
      </c>
      <c r="C533" s="5">
        <v>4.84</v>
      </c>
      <c r="D533" s="4">
        <v>35</v>
      </c>
      <c r="E533" s="5">
        <v>4.72</v>
      </c>
      <c r="F533" s="4">
        <v>32</v>
      </c>
      <c r="G533" s="5">
        <v>5.01</v>
      </c>
      <c r="H533" s="4">
        <v>0</v>
      </c>
    </row>
    <row r="534" spans="1:8" x14ac:dyDescent="0.2">
      <c r="A534" s="2" t="s">
        <v>78</v>
      </c>
      <c r="B534" s="4">
        <v>6</v>
      </c>
      <c r="C534" s="5">
        <v>0.43</v>
      </c>
      <c r="D534" s="4">
        <v>0</v>
      </c>
      <c r="E534" s="5">
        <v>0</v>
      </c>
      <c r="F534" s="4">
        <v>6</v>
      </c>
      <c r="G534" s="5">
        <v>0.94</v>
      </c>
      <c r="H534" s="4">
        <v>0</v>
      </c>
    </row>
    <row r="535" spans="1:8" x14ac:dyDescent="0.2">
      <c r="A535" s="2" t="s">
        <v>79</v>
      </c>
      <c r="B535" s="4">
        <v>25</v>
      </c>
      <c r="C535" s="5">
        <v>1.81</v>
      </c>
      <c r="D535" s="4">
        <v>0</v>
      </c>
      <c r="E535" s="5">
        <v>0</v>
      </c>
      <c r="F535" s="4">
        <v>25</v>
      </c>
      <c r="G535" s="5">
        <v>3.91</v>
      </c>
      <c r="H535" s="4">
        <v>0</v>
      </c>
    </row>
    <row r="536" spans="1:8" x14ac:dyDescent="0.2">
      <c r="A536" s="2" t="s">
        <v>80</v>
      </c>
      <c r="B536" s="4">
        <v>7</v>
      </c>
      <c r="C536" s="5">
        <v>0.51</v>
      </c>
      <c r="D536" s="4">
        <v>1</v>
      </c>
      <c r="E536" s="5">
        <v>0.13</v>
      </c>
      <c r="F536" s="4">
        <v>6</v>
      </c>
      <c r="G536" s="5">
        <v>0.94</v>
      </c>
      <c r="H536" s="4">
        <v>0</v>
      </c>
    </row>
    <row r="537" spans="1:8" x14ac:dyDescent="0.2">
      <c r="A537" s="2" t="s">
        <v>81</v>
      </c>
      <c r="B537" s="4">
        <v>307</v>
      </c>
      <c r="C537" s="5">
        <v>22.18</v>
      </c>
      <c r="D537" s="4">
        <v>175</v>
      </c>
      <c r="E537" s="5">
        <v>23.62</v>
      </c>
      <c r="F537" s="4">
        <v>132</v>
      </c>
      <c r="G537" s="5">
        <v>20.66</v>
      </c>
      <c r="H537" s="4">
        <v>0</v>
      </c>
    </row>
    <row r="538" spans="1:8" x14ac:dyDescent="0.2">
      <c r="A538" s="2" t="s">
        <v>82</v>
      </c>
      <c r="B538" s="4">
        <v>6</v>
      </c>
      <c r="C538" s="5">
        <v>0.43</v>
      </c>
      <c r="D538" s="4">
        <v>2</v>
      </c>
      <c r="E538" s="5">
        <v>0.27</v>
      </c>
      <c r="F538" s="4">
        <v>4</v>
      </c>
      <c r="G538" s="5">
        <v>0.63</v>
      </c>
      <c r="H538" s="4">
        <v>0</v>
      </c>
    </row>
    <row r="539" spans="1:8" x14ac:dyDescent="0.2">
      <c r="A539" s="2" t="s">
        <v>83</v>
      </c>
      <c r="B539" s="4">
        <v>115</v>
      </c>
      <c r="C539" s="5">
        <v>8.31</v>
      </c>
      <c r="D539" s="4">
        <v>24</v>
      </c>
      <c r="E539" s="5">
        <v>3.24</v>
      </c>
      <c r="F539" s="4">
        <v>91</v>
      </c>
      <c r="G539" s="5">
        <v>14.24</v>
      </c>
      <c r="H539" s="4">
        <v>0</v>
      </c>
    </row>
    <row r="540" spans="1:8" x14ac:dyDescent="0.2">
      <c r="A540" s="2" t="s">
        <v>84</v>
      </c>
      <c r="B540" s="4">
        <v>75</v>
      </c>
      <c r="C540" s="5">
        <v>5.42</v>
      </c>
      <c r="D540" s="4">
        <v>39</v>
      </c>
      <c r="E540" s="5">
        <v>5.26</v>
      </c>
      <c r="F540" s="4">
        <v>35</v>
      </c>
      <c r="G540" s="5">
        <v>5.48</v>
      </c>
      <c r="H540" s="4">
        <v>1</v>
      </c>
    </row>
    <row r="541" spans="1:8" x14ac:dyDescent="0.2">
      <c r="A541" s="2" t="s">
        <v>85</v>
      </c>
      <c r="B541" s="4">
        <v>170</v>
      </c>
      <c r="C541" s="5">
        <v>12.28</v>
      </c>
      <c r="D541" s="4">
        <v>142</v>
      </c>
      <c r="E541" s="5">
        <v>19.16</v>
      </c>
      <c r="F541" s="4">
        <v>28</v>
      </c>
      <c r="G541" s="5">
        <v>4.38</v>
      </c>
      <c r="H541" s="4">
        <v>0</v>
      </c>
    </row>
    <row r="542" spans="1:8" x14ac:dyDescent="0.2">
      <c r="A542" s="2" t="s">
        <v>86</v>
      </c>
      <c r="B542" s="4">
        <v>201</v>
      </c>
      <c r="C542" s="5">
        <v>14.52</v>
      </c>
      <c r="D542" s="4">
        <v>159</v>
      </c>
      <c r="E542" s="5">
        <v>21.46</v>
      </c>
      <c r="F542" s="4">
        <v>42</v>
      </c>
      <c r="G542" s="5">
        <v>6.57</v>
      </c>
      <c r="H542" s="4">
        <v>0</v>
      </c>
    </row>
    <row r="543" spans="1:8" x14ac:dyDescent="0.2">
      <c r="A543" s="2" t="s">
        <v>87</v>
      </c>
      <c r="B543" s="4">
        <v>52</v>
      </c>
      <c r="C543" s="5">
        <v>3.76</v>
      </c>
      <c r="D543" s="4">
        <v>34</v>
      </c>
      <c r="E543" s="5">
        <v>4.59</v>
      </c>
      <c r="F543" s="4">
        <v>17</v>
      </c>
      <c r="G543" s="5">
        <v>2.66</v>
      </c>
      <c r="H543" s="4">
        <v>1</v>
      </c>
    </row>
    <row r="544" spans="1:8" x14ac:dyDescent="0.2">
      <c r="A544" s="2" t="s">
        <v>88</v>
      </c>
      <c r="B544" s="4">
        <v>94</v>
      </c>
      <c r="C544" s="5">
        <v>6.79</v>
      </c>
      <c r="D544" s="4">
        <v>55</v>
      </c>
      <c r="E544" s="5">
        <v>7.42</v>
      </c>
      <c r="F544" s="4">
        <v>39</v>
      </c>
      <c r="G544" s="5">
        <v>6.1</v>
      </c>
      <c r="H544" s="4">
        <v>0</v>
      </c>
    </row>
    <row r="545" spans="1:8" x14ac:dyDescent="0.2">
      <c r="A545" s="2" t="s">
        <v>89</v>
      </c>
      <c r="B545" s="4">
        <v>63</v>
      </c>
      <c r="C545" s="5">
        <v>4.55</v>
      </c>
      <c r="D545" s="4">
        <v>32</v>
      </c>
      <c r="E545" s="5">
        <v>4.32</v>
      </c>
      <c r="F545" s="4">
        <v>29</v>
      </c>
      <c r="G545" s="5">
        <v>4.54</v>
      </c>
      <c r="H545" s="4">
        <v>0</v>
      </c>
    </row>
    <row r="546" spans="1:8" x14ac:dyDescent="0.2">
      <c r="A546" s="1" t="s">
        <v>34</v>
      </c>
      <c r="B546" s="4">
        <v>1111</v>
      </c>
      <c r="C546" s="5">
        <v>99.990000000000023</v>
      </c>
      <c r="D546" s="4">
        <v>436</v>
      </c>
      <c r="E546" s="5">
        <v>99.999999999999986</v>
      </c>
      <c r="F546" s="4">
        <v>668</v>
      </c>
      <c r="G546" s="5">
        <v>100.00999999999999</v>
      </c>
      <c r="H546" s="4">
        <v>5</v>
      </c>
    </row>
    <row r="547" spans="1:8" x14ac:dyDescent="0.2">
      <c r="A547" s="2" t="s">
        <v>75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2">
      <c r="A548" s="2" t="s">
        <v>76</v>
      </c>
      <c r="B548" s="4">
        <v>184</v>
      </c>
      <c r="C548" s="5">
        <v>16.559999999999999</v>
      </c>
      <c r="D548" s="4">
        <v>33</v>
      </c>
      <c r="E548" s="5">
        <v>7.57</v>
      </c>
      <c r="F548" s="4">
        <v>151</v>
      </c>
      <c r="G548" s="5">
        <v>22.6</v>
      </c>
      <c r="H548" s="4">
        <v>0</v>
      </c>
    </row>
    <row r="549" spans="1:8" x14ac:dyDescent="0.2">
      <c r="A549" s="2" t="s">
        <v>77</v>
      </c>
      <c r="B549" s="4">
        <v>55</v>
      </c>
      <c r="C549" s="5">
        <v>4.95</v>
      </c>
      <c r="D549" s="4">
        <v>14</v>
      </c>
      <c r="E549" s="5">
        <v>3.21</v>
      </c>
      <c r="F549" s="4">
        <v>41</v>
      </c>
      <c r="G549" s="5">
        <v>6.14</v>
      </c>
      <c r="H549" s="4">
        <v>0</v>
      </c>
    </row>
    <row r="550" spans="1:8" x14ac:dyDescent="0.2">
      <c r="A550" s="2" t="s">
        <v>78</v>
      </c>
      <c r="B550" s="4">
        <v>1</v>
      </c>
      <c r="C550" s="5">
        <v>0.09</v>
      </c>
      <c r="D550" s="4">
        <v>0</v>
      </c>
      <c r="E550" s="5">
        <v>0</v>
      </c>
      <c r="F550" s="4">
        <v>1</v>
      </c>
      <c r="G550" s="5">
        <v>0.15</v>
      </c>
      <c r="H550" s="4">
        <v>0</v>
      </c>
    </row>
    <row r="551" spans="1:8" x14ac:dyDescent="0.2">
      <c r="A551" s="2" t="s">
        <v>79</v>
      </c>
      <c r="B551" s="4">
        <v>21</v>
      </c>
      <c r="C551" s="5">
        <v>1.89</v>
      </c>
      <c r="D551" s="4">
        <v>2</v>
      </c>
      <c r="E551" s="5">
        <v>0.46</v>
      </c>
      <c r="F551" s="4">
        <v>19</v>
      </c>
      <c r="G551" s="5">
        <v>2.84</v>
      </c>
      <c r="H551" s="4">
        <v>0</v>
      </c>
    </row>
    <row r="552" spans="1:8" x14ac:dyDescent="0.2">
      <c r="A552" s="2" t="s">
        <v>80</v>
      </c>
      <c r="B552" s="4">
        <v>11</v>
      </c>
      <c r="C552" s="5">
        <v>0.99</v>
      </c>
      <c r="D552" s="4">
        <v>7</v>
      </c>
      <c r="E552" s="5">
        <v>1.61</v>
      </c>
      <c r="F552" s="4">
        <v>4</v>
      </c>
      <c r="G552" s="5">
        <v>0.6</v>
      </c>
      <c r="H552" s="4">
        <v>0</v>
      </c>
    </row>
    <row r="553" spans="1:8" x14ac:dyDescent="0.2">
      <c r="A553" s="2" t="s">
        <v>81</v>
      </c>
      <c r="B553" s="4">
        <v>303</v>
      </c>
      <c r="C553" s="5">
        <v>27.27</v>
      </c>
      <c r="D553" s="4">
        <v>113</v>
      </c>
      <c r="E553" s="5">
        <v>25.92</v>
      </c>
      <c r="F553" s="4">
        <v>189</v>
      </c>
      <c r="G553" s="5">
        <v>28.29</v>
      </c>
      <c r="H553" s="4">
        <v>1</v>
      </c>
    </row>
    <row r="554" spans="1:8" x14ac:dyDescent="0.2">
      <c r="A554" s="2" t="s">
        <v>82</v>
      </c>
      <c r="B554" s="4">
        <v>8</v>
      </c>
      <c r="C554" s="5">
        <v>0.72</v>
      </c>
      <c r="D554" s="4">
        <v>1</v>
      </c>
      <c r="E554" s="5">
        <v>0.23</v>
      </c>
      <c r="F554" s="4">
        <v>7</v>
      </c>
      <c r="G554" s="5">
        <v>1.05</v>
      </c>
      <c r="H554" s="4">
        <v>0</v>
      </c>
    </row>
    <row r="555" spans="1:8" x14ac:dyDescent="0.2">
      <c r="A555" s="2" t="s">
        <v>83</v>
      </c>
      <c r="B555" s="4">
        <v>109</v>
      </c>
      <c r="C555" s="5">
        <v>9.81</v>
      </c>
      <c r="D555" s="4">
        <v>27</v>
      </c>
      <c r="E555" s="5">
        <v>6.19</v>
      </c>
      <c r="F555" s="4">
        <v>82</v>
      </c>
      <c r="G555" s="5">
        <v>12.28</v>
      </c>
      <c r="H555" s="4">
        <v>0</v>
      </c>
    </row>
    <row r="556" spans="1:8" x14ac:dyDescent="0.2">
      <c r="A556" s="2" t="s">
        <v>84</v>
      </c>
      <c r="B556" s="4">
        <v>67</v>
      </c>
      <c r="C556" s="5">
        <v>6.03</v>
      </c>
      <c r="D556" s="4">
        <v>26</v>
      </c>
      <c r="E556" s="5">
        <v>5.96</v>
      </c>
      <c r="F556" s="4">
        <v>41</v>
      </c>
      <c r="G556" s="5">
        <v>6.14</v>
      </c>
      <c r="H556" s="4">
        <v>0</v>
      </c>
    </row>
    <row r="557" spans="1:8" x14ac:dyDescent="0.2">
      <c r="A557" s="2" t="s">
        <v>85</v>
      </c>
      <c r="B557" s="4">
        <v>68</v>
      </c>
      <c r="C557" s="5">
        <v>6.12</v>
      </c>
      <c r="D557" s="4">
        <v>55</v>
      </c>
      <c r="E557" s="5">
        <v>12.61</v>
      </c>
      <c r="F557" s="4">
        <v>13</v>
      </c>
      <c r="G557" s="5">
        <v>1.95</v>
      </c>
      <c r="H557" s="4">
        <v>0</v>
      </c>
    </row>
    <row r="558" spans="1:8" x14ac:dyDescent="0.2">
      <c r="A558" s="2" t="s">
        <v>86</v>
      </c>
      <c r="B558" s="4">
        <v>125</v>
      </c>
      <c r="C558" s="5">
        <v>11.25</v>
      </c>
      <c r="D558" s="4">
        <v>83</v>
      </c>
      <c r="E558" s="5">
        <v>19.04</v>
      </c>
      <c r="F558" s="4">
        <v>42</v>
      </c>
      <c r="G558" s="5">
        <v>6.29</v>
      </c>
      <c r="H558" s="4">
        <v>0</v>
      </c>
    </row>
    <row r="559" spans="1:8" x14ac:dyDescent="0.2">
      <c r="A559" s="2" t="s">
        <v>87</v>
      </c>
      <c r="B559" s="4">
        <v>39</v>
      </c>
      <c r="C559" s="5">
        <v>3.51</v>
      </c>
      <c r="D559" s="4">
        <v>27</v>
      </c>
      <c r="E559" s="5">
        <v>6.19</v>
      </c>
      <c r="F559" s="4">
        <v>9</v>
      </c>
      <c r="G559" s="5">
        <v>1.35</v>
      </c>
      <c r="H559" s="4">
        <v>3</v>
      </c>
    </row>
    <row r="560" spans="1:8" x14ac:dyDescent="0.2">
      <c r="A560" s="2" t="s">
        <v>88</v>
      </c>
      <c r="B560" s="4">
        <v>64</v>
      </c>
      <c r="C560" s="5">
        <v>5.76</v>
      </c>
      <c r="D560" s="4">
        <v>30</v>
      </c>
      <c r="E560" s="5">
        <v>6.88</v>
      </c>
      <c r="F560" s="4">
        <v>33</v>
      </c>
      <c r="G560" s="5">
        <v>4.9400000000000004</v>
      </c>
      <c r="H560" s="4">
        <v>0</v>
      </c>
    </row>
    <row r="561" spans="1:8" x14ac:dyDescent="0.2">
      <c r="A561" s="2" t="s">
        <v>89</v>
      </c>
      <c r="B561" s="4">
        <v>56</v>
      </c>
      <c r="C561" s="5">
        <v>5.04</v>
      </c>
      <c r="D561" s="4">
        <v>18</v>
      </c>
      <c r="E561" s="5">
        <v>4.13</v>
      </c>
      <c r="F561" s="4">
        <v>36</v>
      </c>
      <c r="G561" s="5">
        <v>5.39</v>
      </c>
      <c r="H561" s="4">
        <v>1</v>
      </c>
    </row>
    <row r="562" spans="1:8" x14ac:dyDescent="0.2">
      <c r="A562" s="1" t="s">
        <v>35</v>
      </c>
      <c r="B562" s="4">
        <v>1078</v>
      </c>
      <c r="C562" s="5">
        <v>100</v>
      </c>
      <c r="D562" s="4">
        <v>541</v>
      </c>
      <c r="E562" s="5">
        <v>100</v>
      </c>
      <c r="F562" s="4">
        <v>532</v>
      </c>
      <c r="G562" s="5">
        <v>99.99</v>
      </c>
      <c r="H562" s="4">
        <v>0</v>
      </c>
    </row>
    <row r="563" spans="1:8" x14ac:dyDescent="0.2">
      <c r="A563" s="2" t="s">
        <v>75</v>
      </c>
      <c r="B563" s="4">
        <v>0</v>
      </c>
      <c r="C563" s="5">
        <v>0</v>
      </c>
      <c r="D563" s="4">
        <v>0</v>
      </c>
      <c r="E563" s="5">
        <v>0</v>
      </c>
      <c r="F563" s="4">
        <v>0</v>
      </c>
      <c r="G563" s="5">
        <v>0</v>
      </c>
      <c r="H563" s="4">
        <v>0</v>
      </c>
    </row>
    <row r="564" spans="1:8" x14ac:dyDescent="0.2">
      <c r="A564" s="2" t="s">
        <v>76</v>
      </c>
      <c r="B564" s="4">
        <v>169</v>
      </c>
      <c r="C564" s="5">
        <v>15.68</v>
      </c>
      <c r="D564" s="4">
        <v>55</v>
      </c>
      <c r="E564" s="5">
        <v>10.17</v>
      </c>
      <c r="F564" s="4">
        <v>114</v>
      </c>
      <c r="G564" s="5">
        <v>21.43</v>
      </c>
      <c r="H564" s="4">
        <v>0</v>
      </c>
    </row>
    <row r="565" spans="1:8" x14ac:dyDescent="0.2">
      <c r="A565" s="2" t="s">
        <v>77</v>
      </c>
      <c r="B565" s="4">
        <v>69</v>
      </c>
      <c r="C565" s="5">
        <v>6.4</v>
      </c>
      <c r="D565" s="4">
        <v>16</v>
      </c>
      <c r="E565" s="5">
        <v>2.96</v>
      </c>
      <c r="F565" s="4">
        <v>53</v>
      </c>
      <c r="G565" s="5">
        <v>9.9600000000000009</v>
      </c>
      <c r="H565" s="4">
        <v>0</v>
      </c>
    </row>
    <row r="566" spans="1:8" x14ac:dyDescent="0.2">
      <c r="A566" s="2" t="s">
        <v>78</v>
      </c>
      <c r="B566" s="4">
        <v>1</v>
      </c>
      <c r="C566" s="5">
        <v>0.09</v>
      </c>
      <c r="D566" s="4">
        <v>0</v>
      </c>
      <c r="E566" s="5">
        <v>0</v>
      </c>
      <c r="F566" s="4">
        <v>1</v>
      </c>
      <c r="G566" s="5">
        <v>0.19</v>
      </c>
      <c r="H566" s="4">
        <v>0</v>
      </c>
    </row>
    <row r="567" spans="1:8" x14ac:dyDescent="0.2">
      <c r="A567" s="2" t="s">
        <v>79</v>
      </c>
      <c r="B567" s="4">
        <v>12</v>
      </c>
      <c r="C567" s="5">
        <v>1.1100000000000001</v>
      </c>
      <c r="D567" s="4">
        <v>0</v>
      </c>
      <c r="E567" s="5">
        <v>0</v>
      </c>
      <c r="F567" s="4">
        <v>12</v>
      </c>
      <c r="G567" s="5">
        <v>2.2599999999999998</v>
      </c>
      <c r="H567" s="4">
        <v>0</v>
      </c>
    </row>
    <row r="568" spans="1:8" x14ac:dyDescent="0.2">
      <c r="A568" s="2" t="s">
        <v>80</v>
      </c>
      <c r="B568" s="4">
        <v>20</v>
      </c>
      <c r="C568" s="5">
        <v>1.86</v>
      </c>
      <c r="D568" s="4">
        <v>5</v>
      </c>
      <c r="E568" s="5">
        <v>0.92</v>
      </c>
      <c r="F568" s="4">
        <v>15</v>
      </c>
      <c r="G568" s="5">
        <v>2.82</v>
      </c>
      <c r="H568" s="4">
        <v>0</v>
      </c>
    </row>
    <row r="569" spans="1:8" x14ac:dyDescent="0.2">
      <c r="A569" s="2" t="s">
        <v>81</v>
      </c>
      <c r="B569" s="4">
        <v>259</v>
      </c>
      <c r="C569" s="5">
        <v>24.03</v>
      </c>
      <c r="D569" s="4">
        <v>110</v>
      </c>
      <c r="E569" s="5">
        <v>20.329999999999998</v>
      </c>
      <c r="F569" s="4">
        <v>149</v>
      </c>
      <c r="G569" s="5">
        <v>28.01</v>
      </c>
      <c r="H569" s="4">
        <v>0</v>
      </c>
    </row>
    <row r="570" spans="1:8" x14ac:dyDescent="0.2">
      <c r="A570" s="2" t="s">
        <v>82</v>
      </c>
      <c r="B570" s="4">
        <v>7</v>
      </c>
      <c r="C570" s="5">
        <v>0.65</v>
      </c>
      <c r="D570" s="4">
        <v>3</v>
      </c>
      <c r="E570" s="5">
        <v>0.55000000000000004</v>
      </c>
      <c r="F570" s="4">
        <v>4</v>
      </c>
      <c r="G570" s="5">
        <v>0.75</v>
      </c>
      <c r="H570" s="4">
        <v>0</v>
      </c>
    </row>
    <row r="571" spans="1:8" x14ac:dyDescent="0.2">
      <c r="A571" s="2" t="s">
        <v>83</v>
      </c>
      <c r="B571" s="4">
        <v>80</v>
      </c>
      <c r="C571" s="5">
        <v>7.42</v>
      </c>
      <c r="D571" s="4">
        <v>43</v>
      </c>
      <c r="E571" s="5">
        <v>7.95</v>
      </c>
      <c r="F571" s="4">
        <v>37</v>
      </c>
      <c r="G571" s="5">
        <v>6.95</v>
      </c>
      <c r="H571" s="4">
        <v>0</v>
      </c>
    </row>
    <row r="572" spans="1:8" x14ac:dyDescent="0.2">
      <c r="A572" s="2" t="s">
        <v>84</v>
      </c>
      <c r="B572" s="4">
        <v>54</v>
      </c>
      <c r="C572" s="5">
        <v>5.01</v>
      </c>
      <c r="D572" s="4">
        <v>23</v>
      </c>
      <c r="E572" s="5">
        <v>4.25</v>
      </c>
      <c r="F572" s="4">
        <v>31</v>
      </c>
      <c r="G572" s="5">
        <v>5.83</v>
      </c>
      <c r="H572" s="4">
        <v>0</v>
      </c>
    </row>
    <row r="573" spans="1:8" x14ac:dyDescent="0.2">
      <c r="A573" s="2" t="s">
        <v>85</v>
      </c>
      <c r="B573" s="4">
        <v>130</v>
      </c>
      <c r="C573" s="5">
        <v>12.06</v>
      </c>
      <c r="D573" s="4">
        <v>92</v>
      </c>
      <c r="E573" s="5">
        <v>17.010000000000002</v>
      </c>
      <c r="F573" s="4">
        <v>37</v>
      </c>
      <c r="G573" s="5">
        <v>6.95</v>
      </c>
      <c r="H573" s="4">
        <v>0</v>
      </c>
    </row>
    <row r="574" spans="1:8" x14ac:dyDescent="0.2">
      <c r="A574" s="2" t="s">
        <v>86</v>
      </c>
      <c r="B574" s="4">
        <v>128</v>
      </c>
      <c r="C574" s="5">
        <v>11.87</v>
      </c>
      <c r="D574" s="4">
        <v>104</v>
      </c>
      <c r="E574" s="5">
        <v>19.22</v>
      </c>
      <c r="F574" s="4">
        <v>23</v>
      </c>
      <c r="G574" s="5">
        <v>4.32</v>
      </c>
      <c r="H574" s="4">
        <v>0</v>
      </c>
    </row>
    <row r="575" spans="1:8" x14ac:dyDescent="0.2">
      <c r="A575" s="2" t="s">
        <v>87</v>
      </c>
      <c r="B575" s="4">
        <v>41</v>
      </c>
      <c r="C575" s="5">
        <v>3.8</v>
      </c>
      <c r="D575" s="4">
        <v>30</v>
      </c>
      <c r="E575" s="5">
        <v>5.55</v>
      </c>
      <c r="F575" s="4">
        <v>9</v>
      </c>
      <c r="G575" s="5">
        <v>1.69</v>
      </c>
      <c r="H575" s="4">
        <v>0</v>
      </c>
    </row>
    <row r="576" spans="1:8" x14ac:dyDescent="0.2">
      <c r="A576" s="2" t="s">
        <v>88</v>
      </c>
      <c r="B576" s="4">
        <v>55</v>
      </c>
      <c r="C576" s="5">
        <v>5.0999999999999996</v>
      </c>
      <c r="D576" s="4">
        <v>40</v>
      </c>
      <c r="E576" s="5">
        <v>7.39</v>
      </c>
      <c r="F576" s="4">
        <v>14</v>
      </c>
      <c r="G576" s="5">
        <v>2.63</v>
      </c>
      <c r="H576" s="4">
        <v>0</v>
      </c>
    </row>
    <row r="577" spans="1:8" x14ac:dyDescent="0.2">
      <c r="A577" s="2" t="s">
        <v>89</v>
      </c>
      <c r="B577" s="4">
        <v>53</v>
      </c>
      <c r="C577" s="5">
        <v>4.92</v>
      </c>
      <c r="D577" s="4">
        <v>20</v>
      </c>
      <c r="E577" s="5">
        <v>3.7</v>
      </c>
      <c r="F577" s="4">
        <v>33</v>
      </c>
      <c r="G577" s="5">
        <v>6.2</v>
      </c>
      <c r="H577" s="4">
        <v>0</v>
      </c>
    </row>
    <row r="578" spans="1:8" x14ac:dyDescent="0.2">
      <c r="A578" s="1" t="s">
        <v>36</v>
      </c>
      <c r="B578" s="4">
        <v>1070</v>
      </c>
      <c r="C578" s="5">
        <v>100</v>
      </c>
      <c r="D578" s="4">
        <v>590</v>
      </c>
      <c r="E578" s="5">
        <v>100.00000000000001</v>
      </c>
      <c r="F578" s="4">
        <v>474</v>
      </c>
      <c r="G578" s="5">
        <v>100.00999999999999</v>
      </c>
      <c r="H578" s="4">
        <v>1</v>
      </c>
    </row>
    <row r="579" spans="1:8" x14ac:dyDescent="0.2">
      <c r="A579" s="2" t="s">
        <v>75</v>
      </c>
      <c r="B579" s="4">
        <v>0</v>
      </c>
      <c r="C579" s="5">
        <v>0</v>
      </c>
      <c r="D579" s="4">
        <v>0</v>
      </c>
      <c r="E579" s="5">
        <v>0</v>
      </c>
      <c r="F579" s="4">
        <v>0</v>
      </c>
      <c r="G579" s="5">
        <v>0</v>
      </c>
      <c r="H579" s="4">
        <v>0</v>
      </c>
    </row>
    <row r="580" spans="1:8" x14ac:dyDescent="0.2">
      <c r="A580" s="2" t="s">
        <v>76</v>
      </c>
      <c r="B580" s="4">
        <v>169</v>
      </c>
      <c r="C580" s="5">
        <v>15.79</v>
      </c>
      <c r="D580" s="4">
        <v>58</v>
      </c>
      <c r="E580" s="5">
        <v>9.83</v>
      </c>
      <c r="F580" s="4">
        <v>111</v>
      </c>
      <c r="G580" s="5">
        <v>23.42</v>
      </c>
      <c r="H580" s="4">
        <v>0</v>
      </c>
    </row>
    <row r="581" spans="1:8" x14ac:dyDescent="0.2">
      <c r="A581" s="2" t="s">
        <v>77</v>
      </c>
      <c r="B581" s="4">
        <v>63</v>
      </c>
      <c r="C581" s="5">
        <v>5.89</v>
      </c>
      <c r="D581" s="4">
        <v>36</v>
      </c>
      <c r="E581" s="5">
        <v>6.1</v>
      </c>
      <c r="F581" s="4">
        <v>27</v>
      </c>
      <c r="G581" s="5">
        <v>5.7</v>
      </c>
      <c r="H581" s="4">
        <v>0</v>
      </c>
    </row>
    <row r="582" spans="1:8" x14ac:dyDescent="0.2">
      <c r="A582" s="2" t="s">
        <v>78</v>
      </c>
      <c r="B582" s="4">
        <v>1</v>
      </c>
      <c r="C582" s="5">
        <v>0.09</v>
      </c>
      <c r="D582" s="4">
        <v>0</v>
      </c>
      <c r="E582" s="5">
        <v>0</v>
      </c>
      <c r="F582" s="4">
        <v>1</v>
      </c>
      <c r="G582" s="5">
        <v>0.21</v>
      </c>
      <c r="H582" s="4">
        <v>0</v>
      </c>
    </row>
    <row r="583" spans="1:8" x14ac:dyDescent="0.2">
      <c r="A583" s="2" t="s">
        <v>79</v>
      </c>
      <c r="B583" s="4">
        <v>10</v>
      </c>
      <c r="C583" s="5">
        <v>0.93</v>
      </c>
      <c r="D583" s="4">
        <v>1</v>
      </c>
      <c r="E583" s="5">
        <v>0.17</v>
      </c>
      <c r="F583" s="4">
        <v>9</v>
      </c>
      <c r="G583" s="5">
        <v>1.9</v>
      </c>
      <c r="H583" s="4">
        <v>0</v>
      </c>
    </row>
    <row r="584" spans="1:8" x14ac:dyDescent="0.2">
      <c r="A584" s="2" t="s">
        <v>80</v>
      </c>
      <c r="B584" s="4">
        <v>2</v>
      </c>
      <c r="C584" s="5">
        <v>0.19</v>
      </c>
      <c r="D584" s="4">
        <v>0</v>
      </c>
      <c r="E584" s="5">
        <v>0</v>
      </c>
      <c r="F584" s="4">
        <v>2</v>
      </c>
      <c r="G584" s="5">
        <v>0.42</v>
      </c>
      <c r="H584" s="4">
        <v>0</v>
      </c>
    </row>
    <row r="585" spans="1:8" x14ac:dyDescent="0.2">
      <c r="A585" s="2" t="s">
        <v>81</v>
      </c>
      <c r="B585" s="4">
        <v>252</v>
      </c>
      <c r="C585" s="5">
        <v>23.55</v>
      </c>
      <c r="D585" s="4">
        <v>127</v>
      </c>
      <c r="E585" s="5">
        <v>21.53</v>
      </c>
      <c r="F585" s="4">
        <v>125</v>
      </c>
      <c r="G585" s="5">
        <v>26.37</v>
      </c>
      <c r="H585" s="4">
        <v>0</v>
      </c>
    </row>
    <row r="586" spans="1:8" x14ac:dyDescent="0.2">
      <c r="A586" s="2" t="s">
        <v>82</v>
      </c>
      <c r="B586" s="4">
        <v>9</v>
      </c>
      <c r="C586" s="5">
        <v>0.84</v>
      </c>
      <c r="D586" s="4">
        <v>2</v>
      </c>
      <c r="E586" s="5">
        <v>0.34</v>
      </c>
      <c r="F586" s="4">
        <v>7</v>
      </c>
      <c r="G586" s="5">
        <v>1.48</v>
      </c>
      <c r="H586" s="4">
        <v>0</v>
      </c>
    </row>
    <row r="587" spans="1:8" x14ac:dyDescent="0.2">
      <c r="A587" s="2" t="s">
        <v>83</v>
      </c>
      <c r="B587" s="4">
        <v>75</v>
      </c>
      <c r="C587" s="5">
        <v>7.01</v>
      </c>
      <c r="D587" s="4">
        <v>13</v>
      </c>
      <c r="E587" s="5">
        <v>2.2000000000000002</v>
      </c>
      <c r="F587" s="4">
        <v>61</v>
      </c>
      <c r="G587" s="5">
        <v>12.87</v>
      </c>
      <c r="H587" s="4">
        <v>1</v>
      </c>
    </row>
    <row r="588" spans="1:8" x14ac:dyDescent="0.2">
      <c r="A588" s="2" t="s">
        <v>84</v>
      </c>
      <c r="B588" s="4">
        <v>61</v>
      </c>
      <c r="C588" s="5">
        <v>5.7</v>
      </c>
      <c r="D588" s="4">
        <v>35</v>
      </c>
      <c r="E588" s="5">
        <v>5.93</v>
      </c>
      <c r="F588" s="4">
        <v>26</v>
      </c>
      <c r="G588" s="5">
        <v>5.49</v>
      </c>
      <c r="H588" s="4">
        <v>0</v>
      </c>
    </row>
    <row r="589" spans="1:8" x14ac:dyDescent="0.2">
      <c r="A589" s="2" t="s">
        <v>85</v>
      </c>
      <c r="B589" s="4">
        <v>123</v>
      </c>
      <c r="C589" s="5">
        <v>11.5</v>
      </c>
      <c r="D589" s="4">
        <v>99</v>
      </c>
      <c r="E589" s="5">
        <v>16.78</v>
      </c>
      <c r="F589" s="4">
        <v>23</v>
      </c>
      <c r="G589" s="5">
        <v>4.8499999999999996</v>
      </c>
      <c r="H589" s="4">
        <v>0</v>
      </c>
    </row>
    <row r="590" spans="1:8" x14ac:dyDescent="0.2">
      <c r="A590" s="2" t="s">
        <v>86</v>
      </c>
      <c r="B590" s="4">
        <v>153</v>
      </c>
      <c r="C590" s="5">
        <v>14.3</v>
      </c>
      <c r="D590" s="4">
        <v>111</v>
      </c>
      <c r="E590" s="5">
        <v>18.809999999999999</v>
      </c>
      <c r="F590" s="4">
        <v>42</v>
      </c>
      <c r="G590" s="5">
        <v>8.86</v>
      </c>
      <c r="H590" s="4">
        <v>0</v>
      </c>
    </row>
    <row r="591" spans="1:8" x14ac:dyDescent="0.2">
      <c r="A591" s="2" t="s">
        <v>87</v>
      </c>
      <c r="B591" s="4">
        <v>48</v>
      </c>
      <c r="C591" s="5">
        <v>4.49</v>
      </c>
      <c r="D591" s="4">
        <v>38</v>
      </c>
      <c r="E591" s="5">
        <v>6.44</v>
      </c>
      <c r="F591" s="4">
        <v>8</v>
      </c>
      <c r="G591" s="5">
        <v>1.69</v>
      </c>
      <c r="H591" s="4">
        <v>0</v>
      </c>
    </row>
    <row r="592" spans="1:8" x14ac:dyDescent="0.2">
      <c r="A592" s="2" t="s">
        <v>88</v>
      </c>
      <c r="B592" s="4">
        <v>69</v>
      </c>
      <c r="C592" s="5">
        <v>6.45</v>
      </c>
      <c r="D592" s="4">
        <v>49</v>
      </c>
      <c r="E592" s="5">
        <v>8.31</v>
      </c>
      <c r="F592" s="4">
        <v>19</v>
      </c>
      <c r="G592" s="5">
        <v>4.01</v>
      </c>
      <c r="H592" s="4">
        <v>0</v>
      </c>
    </row>
    <row r="593" spans="1:8" x14ac:dyDescent="0.2">
      <c r="A593" s="2" t="s">
        <v>89</v>
      </c>
      <c r="B593" s="4">
        <v>35</v>
      </c>
      <c r="C593" s="5">
        <v>3.27</v>
      </c>
      <c r="D593" s="4">
        <v>21</v>
      </c>
      <c r="E593" s="5">
        <v>3.56</v>
      </c>
      <c r="F593" s="4">
        <v>13</v>
      </c>
      <c r="G593" s="5">
        <v>2.74</v>
      </c>
      <c r="H593" s="4">
        <v>0</v>
      </c>
    </row>
    <row r="594" spans="1:8" x14ac:dyDescent="0.2">
      <c r="A594" s="1" t="s">
        <v>37</v>
      </c>
      <c r="B594" s="4">
        <v>668</v>
      </c>
      <c r="C594" s="5">
        <v>99.990000000000023</v>
      </c>
      <c r="D594" s="4">
        <v>438</v>
      </c>
      <c r="E594" s="5">
        <v>100.02</v>
      </c>
      <c r="F594" s="4">
        <v>221</v>
      </c>
      <c r="G594" s="5">
        <v>99.970000000000013</v>
      </c>
      <c r="H594" s="4">
        <v>3</v>
      </c>
    </row>
    <row r="595" spans="1:8" x14ac:dyDescent="0.2">
      <c r="A595" s="2" t="s">
        <v>75</v>
      </c>
      <c r="B595" s="4">
        <v>1</v>
      </c>
      <c r="C595" s="5">
        <v>0.15</v>
      </c>
      <c r="D595" s="4">
        <v>1</v>
      </c>
      <c r="E595" s="5">
        <v>0.23</v>
      </c>
      <c r="F595" s="4">
        <v>0</v>
      </c>
      <c r="G595" s="5">
        <v>0</v>
      </c>
      <c r="H595" s="4">
        <v>0</v>
      </c>
    </row>
    <row r="596" spans="1:8" x14ac:dyDescent="0.2">
      <c r="A596" s="2" t="s">
        <v>76</v>
      </c>
      <c r="B596" s="4">
        <v>105</v>
      </c>
      <c r="C596" s="5">
        <v>15.72</v>
      </c>
      <c r="D596" s="4">
        <v>46</v>
      </c>
      <c r="E596" s="5">
        <v>10.5</v>
      </c>
      <c r="F596" s="4">
        <v>59</v>
      </c>
      <c r="G596" s="5">
        <v>26.7</v>
      </c>
      <c r="H596" s="4">
        <v>0</v>
      </c>
    </row>
    <row r="597" spans="1:8" x14ac:dyDescent="0.2">
      <c r="A597" s="2" t="s">
        <v>77</v>
      </c>
      <c r="B597" s="4">
        <v>69</v>
      </c>
      <c r="C597" s="5">
        <v>10.33</v>
      </c>
      <c r="D597" s="4">
        <v>43</v>
      </c>
      <c r="E597" s="5">
        <v>9.82</v>
      </c>
      <c r="F597" s="4">
        <v>26</v>
      </c>
      <c r="G597" s="5">
        <v>11.76</v>
      </c>
      <c r="H597" s="4">
        <v>0</v>
      </c>
    </row>
    <row r="598" spans="1:8" x14ac:dyDescent="0.2">
      <c r="A598" s="2" t="s">
        <v>78</v>
      </c>
      <c r="B598" s="4">
        <v>0</v>
      </c>
      <c r="C598" s="5">
        <v>0</v>
      </c>
      <c r="D598" s="4">
        <v>0</v>
      </c>
      <c r="E598" s="5">
        <v>0</v>
      </c>
      <c r="F598" s="4">
        <v>0</v>
      </c>
      <c r="G598" s="5">
        <v>0</v>
      </c>
      <c r="H598" s="4">
        <v>0</v>
      </c>
    </row>
    <row r="599" spans="1:8" x14ac:dyDescent="0.2">
      <c r="A599" s="2" t="s">
        <v>79</v>
      </c>
      <c r="B599" s="4">
        <v>2</v>
      </c>
      <c r="C599" s="5">
        <v>0.3</v>
      </c>
      <c r="D599" s="4">
        <v>0</v>
      </c>
      <c r="E599" s="5">
        <v>0</v>
      </c>
      <c r="F599" s="4">
        <v>2</v>
      </c>
      <c r="G599" s="5">
        <v>0.9</v>
      </c>
      <c r="H599" s="4">
        <v>0</v>
      </c>
    </row>
    <row r="600" spans="1:8" x14ac:dyDescent="0.2">
      <c r="A600" s="2" t="s">
        <v>80</v>
      </c>
      <c r="B600" s="4">
        <v>7</v>
      </c>
      <c r="C600" s="5">
        <v>1.05</v>
      </c>
      <c r="D600" s="4">
        <v>2</v>
      </c>
      <c r="E600" s="5">
        <v>0.46</v>
      </c>
      <c r="F600" s="4">
        <v>5</v>
      </c>
      <c r="G600" s="5">
        <v>2.2599999999999998</v>
      </c>
      <c r="H600" s="4">
        <v>0</v>
      </c>
    </row>
    <row r="601" spans="1:8" x14ac:dyDescent="0.2">
      <c r="A601" s="2" t="s">
        <v>81</v>
      </c>
      <c r="B601" s="4">
        <v>199</v>
      </c>
      <c r="C601" s="5">
        <v>29.79</v>
      </c>
      <c r="D601" s="4">
        <v>135</v>
      </c>
      <c r="E601" s="5">
        <v>30.82</v>
      </c>
      <c r="F601" s="4">
        <v>64</v>
      </c>
      <c r="G601" s="5">
        <v>28.96</v>
      </c>
      <c r="H601" s="4">
        <v>0</v>
      </c>
    </row>
    <row r="602" spans="1:8" x14ac:dyDescent="0.2">
      <c r="A602" s="2" t="s">
        <v>82</v>
      </c>
      <c r="B602" s="4">
        <v>4</v>
      </c>
      <c r="C602" s="5">
        <v>0.6</v>
      </c>
      <c r="D602" s="4">
        <v>2</v>
      </c>
      <c r="E602" s="5">
        <v>0.46</v>
      </c>
      <c r="F602" s="4">
        <v>2</v>
      </c>
      <c r="G602" s="5">
        <v>0.9</v>
      </c>
      <c r="H602" s="4">
        <v>0</v>
      </c>
    </row>
    <row r="603" spans="1:8" x14ac:dyDescent="0.2">
      <c r="A603" s="2" t="s">
        <v>83</v>
      </c>
      <c r="B603" s="4">
        <v>30</v>
      </c>
      <c r="C603" s="5">
        <v>4.49</v>
      </c>
      <c r="D603" s="4">
        <v>8</v>
      </c>
      <c r="E603" s="5">
        <v>1.83</v>
      </c>
      <c r="F603" s="4">
        <v>22</v>
      </c>
      <c r="G603" s="5">
        <v>9.9499999999999993</v>
      </c>
      <c r="H603" s="4">
        <v>0</v>
      </c>
    </row>
    <row r="604" spans="1:8" x14ac:dyDescent="0.2">
      <c r="A604" s="2" t="s">
        <v>84</v>
      </c>
      <c r="B604" s="4">
        <v>26</v>
      </c>
      <c r="C604" s="5">
        <v>3.89</v>
      </c>
      <c r="D604" s="4">
        <v>18</v>
      </c>
      <c r="E604" s="5">
        <v>4.1100000000000003</v>
      </c>
      <c r="F604" s="4">
        <v>6</v>
      </c>
      <c r="G604" s="5">
        <v>2.71</v>
      </c>
      <c r="H604" s="4">
        <v>0</v>
      </c>
    </row>
    <row r="605" spans="1:8" x14ac:dyDescent="0.2">
      <c r="A605" s="2" t="s">
        <v>85</v>
      </c>
      <c r="B605" s="4">
        <v>94</v>
      </c>
      <c r="C605" s="5">
        <v>14.07</v>
      </c>
      <c r="D605" s="4">
        <v>84</v>
      </c>
      <c r="E605" s="5">
        <v>19.18</v>
      </c>
      <c r="F605" s="4">
        <v>9</v>
      </c>
      <c r="G605" s="5">
        <v>4.07</v>
      </c>
      <c r="H605" s="4">
        <v>1</v>
      </c>
    </row>
    <row r="606" spans="1:8" x14ac:dyDescent="0.2">
      <c r="A606" s="2" t="s">
        <v>86</v>
      </c>
      <c r="B606" s="4">
        <v>74</v>
      </c>
      <c r="C606" s="5">
        <v>11.08</v>
      </c>
      <c r="D606" s="4">
        <v>61</v>
      </c>
      <c r="E606" s="5">
        <v>13.93</v>
      </c>
      <c r="F606" s="4">
        <v>13</v>
      </c>
      <c r="G606" s="5">
        <v>5.88</v>
      </c>
      <c r="H606" s="4">
        <v>0</v>
      </c>
    </row>
    <row r="607" spans="1:8" x14ac:dyDescent="0.2">
      <c r="A607" s="2" t="s">
        <v>87</v>
      </c>
      <c r="B607" s="4">
        <v>18</v>
      </c>
      <c r="C607" s="5">
        <v>2.69</v>
      </c>
      <c r="D607" s="4">
        <v>12</v>
      </c>
      <c r="E607" s="5">
        <v>2.74</v>
      </c>
      <c r="F607" s="4">
        <v>1</v>
      </c>
      <c r="G607" s="5">
        <v>0.45</v>
      </c>
      <c r="H607" s="4">
        <v>1</v>
      </c>
    </row>
    <row r="608" spans="1:8" x14ac:dyDescent="0.2">
      <c r="A608" s="2" t="s">
        <v>88</v>
      </c>
      <c r="B608" s="4">
        <v>17</v>
      </c>
      <c r="C608" s="5">
        <v>2.54</v>
      </c>
      <c r="D608" s="4">
        <v>12</v>
      </c>
      <c r="E608" s="5">
        <v>2.74</v>
      </c>
      <c r="F608" s="4">
        <v>5</v>
      </c>
      <c r="G608" s="5">
        <v>2.2599999999999998</v>
      </c>
      <c r="H608" s="4">
        <v>0</v>
      </c>
    </row>
    <row r="609" spans="1:8" x14ac:dyDescent="0.2">
      <c r="A609" s="2" t="s">
        <v>89</v>
      </c>
      <c r="B609" s="4">
        <v>22</v>
      </c>
      <c r="C609" s="5">
        <v>3.29</v>
      </c>
      <c r="D609" s="4">
        <v>14</v>
      </c>
      <c r="E609" s="5">
        <v>3.2</v>
      </c>
      <c r="F609" s="4">
        <v>7</v>
      </c>
      <c r="G609" s="5">
        <v>3.17</v>
      </c>
      <c r="H609" s="4">
        <v>1</v>
      </c>
    </row>
    <row r="610" spans="1:8" x14ac:dyDescent="0.2">
      <c r="A610" s="1" t="s">
        <v>38</v>
      </c>
      <c r="B610" s="4">
        <v>470</v>
      </c>
      <c r="C610" s="5">
        <v>100</v>
      </c>
      <c r="D610" s="4">
        <v>232</v>
      </c>
      <c r="E610" s="5">
        <v>100</v>
      </c>
      <c r="F610" s="4">
        <v>226</v>
      </c>
      <c r="G610" s="5">
        <v>99.969999999999985</v>
      </c>
      <c r="H610" s="4">
        <v>1</v>
      </c>
    </row>
    <row r="611" spans="1:8" x14ac:dyDescent="0.2">
      <c r="A611" s="2" t="s">
        <v>75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2">
      <c r="A612" s="2" t="s">
        <v>76</v>
      </c>
      <c r="B612" s="4">
        <v>89</v>
      </c>
      <c r="C612" s="5">
        <v>18.940000000000001</v>
      </c>
      <c r="D612" s="4">
        <v>23</v>
      </c>
      <c r="E612" s="5">
        <v>9.91</v>
      </c>
      <c r="F612" s="4">
        <v>66</v>
      </c>
      <c r="G612" s="5">
        <v>29.2</v>
      </c>
      <c r="H612" s="4">
        <v>0</v>
      </c>
    </row>
    <row r="613" spans="1:8" x14ac:dyDescent="0.2">
      <c r="A613" s="2" t="s">
        <v>77</v>
      </c>
      <c r="B613" s="4">
        <v>32</v>
      </c>
      <c r="C613" s="5">
        <v>6.81</v>
      </c>
      <c r="D613" s="4">
        <v>10</v>
      </c>
      <c r="E613" s="5">
        <v>4.3099999999999996</v>
      </c>
      <c r="F613" s="4">
        <v>22</v>
      </c>
      <c r="G613" s="5">
        <v>9.73</v>
      </c>
      <c r="H613" s="4">
        <v>0</v>
      </c>
    </row>
    <row r="614" spans="1:8" x14ac:dyDescent="0.2">
      <c r="A614" s="2" t="s">
        <v>78</v>
      </c>
      <c r="B614" s="4">
        <v>2</v>
      </c>
      <c r="C614" s="5">
        <v>0.43</v>
      </c>
      <c r="D614" s="4">
        <v>0</v>
      </c>
      <c r="E614" s="5">
        <v>0</v>
      </c>
      <c r="F614" s="4">
        <v>1</v>
      </c>
      <c r="G614" s="5">
        <v>0.44</v>
      </c>
      <c r="H614" s="4">
        <v>0</v>
      </c>
    </row>
    <row r="615" spans="1:8" x14ac:dyDescent="0.2">
      <c r="A615" s="2" t="s">
        <v>79</v>
      </c>
      <c r="B615" s="4">
        <v>0</v>
      </c>
      <c r="C615" s="5">
        <v>0</v>
      </c>
      <c r="D615" s="4">
        <v>0</v>
      </c>
      <c r="E615" s="5">
        <v>0</v>
      </c>
      <c r="F615" s="4">
        <v>0</v>
      </c>
      <c r="G615" s="5">
        <v>0</v>
      </c>
      <c r="H615" s="4">
        <v>0</v>
      </c>
    </row>
    <row r="616" spans="1:8" x14ac:dyDescent="0.2">
      <c r="A616" s="2" t="s">
        <v>80</v>
      </c>
      <c r="B616" s="4">
        <v>13</v>
      </c>
      <c r="C616" s="5">
        <v>2.77</v>
      </c>
      <c r="D616" s="4">
        <v>0</v>
      </c>
      <c r="E616" s="5">
        <v>0</v>
      </c>
      <c r="F616" s="4">
        <v>12</v>
      </c>
      <c r="G616" s="5">
        <v>5.31</v>
      </c>
      <c r="H616" s="4">
        <v>1</v>
      </c>
    </row>
    <row r="617" spans="1:8" x14ac:dyDescent="0.2">
      <c r="A617" s="2" t="s">
        <v>81</v>
      </c>
      <c r="B617" s="4">
        <v>114</v>
      </c>
      <c r="C617" s="5">
        <v>24.26</v>
      </c>
      <c r="D617" s="4">
        <v>60</v>
      </c>
      <c r="E617" s="5">
        <v>25.86</v>
      </c>
      <c r="F617" s="4">
        <v>54</v>
      </c>
      <c r="G617" s="5">
        <v>23.89</v>
      </c>
      <c r="H617" s="4">
        <v>0</v>
      </c>
    </row>
    <row r="618" spans="1:8" x14ac:dyDescent="0.2">
      <c r="A618" s="2" t="s">
        <v>82</v>
      </c>
      <c r="B618" s="4">
        <v>1</v>
      </c>
      <c r="C618" s="5">
        <v>0.21</v>
      </c>
      <c r="D618" s="4">
        <v>0</v>
      </c>
      <c r="E618" s="5">
        <v>0</v>
      </c>
      <c r="F618" s="4">
        <v>1</v>
      </c>
      <c r="G618" s="5">
        <v>0.44</v>
      </c>
      <c r="H618" s="4">
        <v>0</v>
      </c>
    </row>
    <row r="619" spans="1:8" x14ac:dyDescent="0.2">
      <c r="A619" s="2" t="s">
        <v>83</v>
      </c>
      <c r="B619" s="4">
        <v>21</v>
      </c>
      <c r="C619" s="5">
        <v>4.47</v>
      </c>
      <c r="D619" s="4">
        <v>5</v>
      </c>
      <c r="E619" s="5">
        <v>2.16</v>
      </c>
      <c r="F619" s="4">
        <v>16</v>
      </c>
      <c r="G619" s="5">
        <v>7.08</v>
      </c>
      <c r="H619" s="4">
        <v>0</v>
      </c>
    </row>
    <row r="620" spans="1:8" x14ac:dyDescent="0.2">
      <c r="A620" s="2" t="s">
        <v>84</v>
      </c>
      <c r="B620" s="4">
        <v>16</v>
      </c>
      <c r="C620" s="5">
        <v>3.4</v>
      </c>
      <c r="D620" s="4">
        <v>10</v>
      </c>
      <c r="E620" s="5">
        <v>4.3099999999999996</v>
      </c>
      <c r="F620" s="4">
        <v>5</v>
      </c>
      <c r="G620" s="5">
        <v>2.21</v>
      </c>
      <c r="H620" s="4">
        <v>0</v>
      </c>
    </row>
    <row r="621" spans="1:8" x14ac:dyDescent="0.2">
      <c r="A621" s="2" t="s">
        <v>85</v>
      </c>
      <c r="B621" s="4">
        <v>48</v>
      </c>
      <c r="C621" s="5">
        <v>10.210000000000001</v>
      </c>
      <c r="D621" s="4">
        <v>36</v>
      </c>
      <c r="E621" s="5">
        <v>15.52</v>
      </c>
      <c r="F621" s="4">
        <v>12</v>
      </c>
      <c r="G621" s="5">
        <v>5.31</v>
      </c>
      <c r="H621" s="4">
        <v>0</v>
      </c>
    </row>
    <row r="622" spans="1:8" x14ac:dyDescent="0.2">
      <c r="A622" s="2" t="s">
        <v>86</v>
      </c>
      <c r="B622" s="4">
        <v>74</v>
      </c>
      <c r="C622" s="5">
        <v>15.74</v>
      </c>
      <c r="D622" s="4">
        <v>59</v>
      </c>
      <c r="E622" s="5">
        <v>25.43</v>
      </c>
      <c r="F622" s="4">
        <v>14</v>
      </c>
      <c r="G622" s="5">
        <v>6.19</v>
      </c>
      <c r="H622" s="4">
        <v>0</v>
      </c>
    </row>
    <row r="623" spans="1:8" x14ac:dyDescent="0.2">
      <c r="A623" s="2" t="s">
        <v>87</v>
      </c>
      <c r="B623" s="4">
        <v>9</v>
      </c>
      <c r="C623" s="5">
        <v>1.91</v>
      </c>
      <c r="D623" s="4">
        <v>5</v>
      </c>
      <c r="E623" s="5">
        <v>2.16</v>
      </c>
      <c r="F623" s="4">
        <v>2</v>
      </c>
      <c r="G623" s="5">
        <v>0.88</v>
      </c>
      <c r="H623" s="4">
        <v>0</v>
      </c>
    </row>
    <row r="624" spans="1:8" x14ac:dyDescent="0.2">
      <c r="A624" s="2" t="s">
        <v>88</v>
      </c>
      <c r="B624" s="4">
        <v>26</v>
      </c>
      <c r="C624" s="5">
        <v>5.53</v>
      </c>
      <c r="D624" s="4">
        <v>12</v>
      </c>
      <c r="E624" s="5">
        <v>5.17</v>
      </c>
      <c r="F624" s="4">
        <v>9</v>
      </c>
      <c r="G624" s="5">
        <v>3.98</v>
      </c>
      <c r="H624" s="4">
        <v>0</v>
      </c>
    </row>
    <row r="625" spans="1:8" x14ac:dyDescent="0.2">
      <c r="A625" s="2" t="s">
        <v>89</v>
      </c>
      <c r="B625" s="4">
        <v>25</v>
      </c>
      <c r="C625" s="5">
        <v>5.32</v>
      </c>
      <c r="D625" s="4">
        <v>12</v>
      </c>
      <c r="E625" s="5">
        <v>5.17</v>
      </c>
      <c r="F625" s="4">
        <v>12</v>
      </c>
      <c r="G625" s="5">
        <v>5.31</v>
      </c>
      <c r="H625" s="4">
        <v>0</v>
      </c>
    </row>
    <row r="626" spans="1:8" x14ac:dyDescent="0.2">
      <c r="A626" s="1" t="s">
        <v>39</v>
      </c>
      <c r="B626" s="4">
        <v>715</v>
      </c>
      <c r="C626" s="5">
        <v>100</v>
      </c>
      <c r="D626" s="4">
        <v>452</v>
      </c>
      <c r="E626" s="5">
        <v>99.990000000000009</v>
      </c>
      <c r="F626" s="4">
        <v>235</v>
      </c>
      <c r="G626" s="5">
        <v>100.01000000000002</v>
      </c>
      <c r="H626" s="4">
        <v>1</v>
      </c>
    </row>
    <row r="627" spans="1:8" x14ac:dyDescent="0.2">
      <c r="A627" s="2" t="s">
        <v>75</v>
      </c>
      <c r="B627" s="4">
        <v>0</v>
      </c>
      <c r="C627" s="5">
        <v>0</v>
      </c>
      <c r="D627" s="4">
        <v>0</v>
      </c>
      <c r="E627" s="5">
        <v>0</v>
      </c>
      <c r="F627" s="4">
        <v>0</v>
      </c>
      <c r="G627" s="5">
        <v>0</v>
      </c>
      <c r="H627" s="4">
        <v>0</v>
      </c>
    </row>
    <row r="628" spans="1:8" x14ac:dyDescent="0.2">
      <c r="A628" s="2" t="s">
        <v>76</v>
      </c>
      <c r="B628" s="4">
        <v>116</v>
      </c>
      <c r="C628" s="5">
        <v>16.22</v>
      </c>
      <c r="D628" s="4">
        <v>52</v>
      </c>
      <c r="E628" s="5">
        <v>11.5</v>
      </c>
      <c r="F628" s="4">
        <v>64</v>
      </c>
      <c r="G628" s="5">
        <v>27.23</v>
      </c>
      <c r="H628" s="4">
        <v>0</v>
      </c>
    </row>
    <row r="629" spans="1:8" x14ac:dyDescent="0.2">
      <c r="A629" s="2" t="s">
        <v>77</v>
      </c>
      <c r="B629" s="4">
        <v>59</v>
      </c>
      <c r="C629" s="5">
        <v>8.25</v>
      </c>
      <c r="D629" s="4">
        <v>29</v>
      </c>
      <c r="E629" s="5">
        <v>6.42</v>
      </c>
      <c r="F629" s="4">
        <v>30</v>
      </c>
      <c r="G629" s="5">
        <v>12.77</v>
      </c>
      <c r="H629" s="4">
        <v>0</v>
      </c>
    </row>
    <row r="630" spans="1:8" x14ac:dyDescent="0.2">
      <c r="A630" s="2" t="s">
        <v>78</v>
      </c>
      <c r="B630" s="4">
        <v>6</v>
      </c>
      <c r="C630" s="5">
        <v>0.84</v>
      </c>
      <c r="D630" s="4">
        <v>0</v>
      </c>
      <c r="E630" s="5">
        <v>0</v>
      </c>
      <c r="F630" s="4">
        <v>2</v>
      </c>
      <c r="G630" s="5">
        <v>0.85</v>
      </c>
      <c r="H630" s="4">
        <v>0</v>
      </c>
    </row>
    <row r="631" spans="1:8" x14ac:dyDescent="0.2">
      <c r="A631" s="2" t="s">
        <v>79</v>
      </c>
      <c r="B631" s="4">
        <v>0</v>
      </c>
      <c r="C631" s="5">
        <v>0</v>
      </c>
      <c r="D631" s="4">
        <v>0</v>
      </c>
      <c r="E631" s="5">
        <v>0</v>
      </c>
      <c r="F631" s="4">
        <v>0</v>
      </c>
      <c r="G631" s="5">
        <v>0</v>
      </c>
      <c r="H631" s="4">
        <v>0</v>
      </c>
    </row>
    <row r="632" spans="1:8" x14ac:dyDescent="0.2">
      <c r="A632" s="2" t="s">
        <v>80</v>
      </c>
      <c r="B632" s="4">
        <v>3</v>
      </c>
      <c r="C632" s="5">
        <v>0.42</v>
      </c>
      <c r="D632" s="4">
        <v>2</v>
      </c>
      <c r="E632" s="5">
        <v>0.44</v>
      </c>
      <c r="F632" s="4">
        <v>1</v>
      </c>
      <c r="G632" s="5">
        <v>0.43</v>
      </c>
      <c r="H632" s="4">
        <v>0</v>
      </c>
    </row>
    <row r="633" spans="1:8" x14ac:dyDescent="0.2">
      <c r="A633" s="2" t="s">
        <v>81</v>
      </c>
      <c r="B633" s="4">
        <v>196</v>
      </c>
      <c r="C633" s="5">
        <v>27.41</v>
      </c>
      <c r="D633" s="4">
        <v>131</v>
      </c>
      <c r="E633" s="5">
        <v>28.98</v>
      </c>
      <c r="F633" s="4">
        <v>65</v>
      </c>
      <c r="G633" s="5">
        <v>27.66</v>
      </c>
      <c r="H633" s="4">
        <v>0</v>
      </c>
    </row>
    <row r="634" spans="1:8" x14ac:dyDescent="0.2">
      <c r="A634" s="2" t="s">
        <v>82</v>
      </c>
      <c r="B634" s="4">
        <v>1</v>
      </c>
      <c r="C634" s="5">
        <v>0.14000000000000001</v>
      </c>
      <c r="D634" s="4">
        <v>0</v>
      </c>
      <c r="E634" s="5">
        <v>0</v>
      </c>
      <c r="F634" s="4">
        <v>1</v>
      </c>
      <c r="G634" s="5">
        <v>0.43</v>
      </c>
      <c r="H634" s="4">
        <v>0</v>
      </c>
    </row>
    <row r="635" spans="1:8" x14ac:dyDescent="0.2">
      <c r="A635" s="2" t="s">
        <v>83</v>
      </c>
      <c r="B635" s="4">
        <v>19</v>
      </c>
      <c r="C635" s="5">
        <v>2.66</v>
      </c>
      <c r="D635" s="4">
        <v>6</v>
      </c>
      <c r="E635" s="5">
        <v>1.33</v>
      </c>
      <c r="F635" s="4">
        <v>13</v>
      </c>
      <c r="G635" s="5">
        <v>5.53</v>
      </c>
      <c r="H635" s="4">
        <v>0</v>
      </c>
    </row>
    <row r="636" spans="1:8" x14ac:dyDescent="0.2">
      <c r="A636" s="2" t="s">
        <v>84</v>
      </c>
      <c r="B636" s="4">
        <v>23</v>
      </c>
      <c r="C636" s="5">
        <v>3.22</v>
      </c>
      <c r="D636" s="4">
        <v>12</v>
      </c>
      <c r="E636" s="5">
        <v>2.65</v>
      </c>
      <c r="F636" s="4">
        <v>11</v>
      </c>
      <c r="G636" s="5">
        <v>4.68</v>
      </c>
      <c r="H636" s="4">
        <v>0</v>
      </c>
    </row>
    <row r="637" spans="1:8" x14ac:dyDescent="0.2">
      <c r="A637" s="2" t="s">
        <v>85</v>
      </c>
      <c r="B637" s="4">
        <v>69</v>
      </c>
      <c r="C637" s="5">
        <v>9.65</v>
      </c>
      <c r="D637" s="4">
        <v>63</v>
      </c>
      <c r="E637" s="5">
        <v>13.94</v>
      </c>
      <c r="F637" s="4">
        <v>6</v>
      </c>
      <c r="G637" s="5">
        <v>2.5499999999999998</v>
      </c>
      <c r="H637" s="4">
        <v>0</v>
      </c>
    </row>
    <row r="638" spans="1:8" x14ac:dyDescent="0.2">
      <c r="A638" s="2" t="s">
        <v>86</v>
      </c>
      <c r="B638" s="4">
        <v>116</v>
      </c>
      <c r="C638" s="5">
        <v>16.22</v>
      </c>
      <c r="D638" s="4">
        <v>101</v>
      </c>
      <c r="E638" s="5">
        <v>22.35</v>
      </c>
      <c r="F638" s="4">
        <v>14</v>
      </c>
      <c r="G638" s="5">
        <v>5.96</v>
      </c>
      <c r="H638" s="4">
        <v>0</v>
      </c>
    </row>
    <row r="639" spans="1:8" x14ac:dyDescent="0.2">
      <c r="A639" s="2" t="s">
        <v>87</v>
      </c>
      <c r="B639" s="4">
        <v>18</v>
      </c>
      <c r="C639" s="5">
        <v>2.52</v>
      </c>
      <c r="D639" s="4">
        <v>9</v>
      </c>
      <c r="E639" s="5">
        <v>1.99</v>
      </c>
      <c r="F639" s="4">
        <v>1</v>
      </c>
      <c r="G639" s="5">
        <v>0.43</v>
      </c>
      <c r="H639" s="4">
        <v>1</v>
      </c>
    </row>
    <row r="640" spans="1:8" x14ac:dyDescent="0.2">
      <c r="A640" s="2" t="s">
        <v>88</v>
      </c>
      <c r="B640" s="4">
        <v>57</v>
      </c>
      <c r="C640" s="5">
        <v>7.97</v>
      </c>
      <c r="D640" s="4">
        <v>27</v>
      </c>
      <c r="E640" s="5">
        <v>5.97</v>
      </c>
      <c r="F640" s="4">
        <v>17</v>
      </c>
      <c r="G640" s="5">
        <v>7.23</v>
      </c>
      <c r="H640" s="4">
        <v>0</v>
      </c>
    </row>
    <row r="641" spans="1:8" x14ac:dyDescent="0.2">
      <c r="A641" s="2" t="s">
        <v>89</v>
      </c>
      <c r="B641" s="4">
        <v>32</v>
      </c>
      <c r="C641" s="5">
        <v>4.4800000000000004</v>
      </c>
      <c r="D641" s="4">
        <v>20</v>
      </c>
      <c r="E641" s="5">
        <v>4.42</v>
      </c>
      <c r="F641" s="4">
        <v>10</v>
      </c>
      <c r="G641" s="5">
        <v>4.26</v>
      </c>
      <c r="H641" s="4">
        <v>0</v>
      </c>
    </row>
    <row r="642" spans="1:8" x14ac:dyDescent="0.2">
      <c r="A642" s="1" t="s">
        <v>40</v>
      </c>
      <c r="B642" s="4">
        <v>1324</v>
      </c>
      <c r="C642" s="5">
        <v>100</v>
      </c>
      <c r="D642" s="4">
        <v>760</v>
      </c>
      <c r="E642" s="5">
        <v>99.99</v>
      </c>
      <c r="F642" s="4">
        <v>553</v>
      </c>
      <c r="G642" s="5">
        <v>99.969999999999985</v>
      </c>
      <c r="H642" s="4">
        <v>5</v>
      </c>
    </row>
    <row r="643" spans="1:8" x14ac:dyDescent="0.2">
      <c r="A643" s="2" t="s">
        <v>75</v>
      </c>
      <c r="B643" s="4">
        <v>1</v>
      </c>
      <c r="C643" s="5">
        <v>0.08</v>
      </c>
      <c r="D643" s="4">
        <v>0</v>
      </c>
      <c r="E643" s="5">
        <v>0</v>
      </c>
      <c r="F643" s="4">
        <v>1</v>
      </c>
      <c r="G643" s="5">
        <v>0.18</v>
      </c>
      <c r="H643" s="4">
        <v>0</v>
      </c>
    </row>
    <row r="644" spans="1:8" x14ac:dyDescent="0.2">
      <c r="A644" s="2" t="s">
        <v>76</v>
      </c>
      <c r="B644" s="4">
        <v>208</v>
      </c>
      <c r="C644" s="5">
        <v>15.71</v>
      </c>
      <c r="D644" s="4">
        <v>85</v>
      </c>
      <c r="E644" s="5">
        <v>11.18</v>
      </c>
      <c r="F644" s="4">
        <v>123</v>
      </c>
      <c r="G644" s="5">
        <v>22.24</v>
      </c>
      <c r="H644" s="4">
        <v>0</v>
      </c>
    </row>
    <row r="645" spans="1:8" x14ac:dyDescent="0.2">
      <c r="A645" s="2" t="s">
        <v>77</v>
      </c>
      <c r="B645" s="4">
        <v>119</v>
      </c>
      <c r="C645" s="5">
        <v>8.99</v>
      </c>
      <c r="D645" s="4">
        <v>53</v>
      </c>
      <c r="E645" s="5">
        <v>6.97</v>
      </c>
      <c r="F645" s="4">
        <v>66</v>
      </c>
      <c r="G645" s="5">
        <v>11.93</v>
      </c>
      <c r="H645" s="4">
        <v>0</v>
      </c>
    </row>
    <row r="646" spans="1:8" x14ac:dyDescent="0.2">
      <c r="A646" s="2" t="s">
        <v>78</v>
      </c>
      <c r="B646" s="4">
        <v>5</v>
      </c>
      <c r="C646" s="5">
        <v>0.38</v>
      </c>
      <c r="D646" s="4">
        <v>0</v>
      </c>
      <c r="E646" s="5">
        <v>0</v>
      </c>
      <c r="F646" s="4">
        <v>3</v>
      </c>
      <c r="G646" s="5">
        <v>0.54</v>
      </c>
      <c r="H646" s="4">
        <v>0</v>
      </c>
    </row>
    <row r="647" spans="1:8" x14ac:dyDescent="0.2">
      <c r="A647" s="2" t="s">
        <v>79</v>
      </c>
      <c r="B647" s="4">
        <v>6</v>
      </c>
      <c r="C647" s="5">
        <v>0.45</v>
      </c>
      <c r="D647" s="4">
        <v>1</v>
      </c>
      <c r="E647" s="5">
        <v>0.13</v>
      </c>
      <c r="F647" s="4">
        <v>5</v>
      </c>
      <c r="G647" s="5">
        <v>0.9</v>
      </c>
      <c r="H647" s="4">
        <v>0</v>
      </c>
    </row>
    <row r="648" spans="1:8" x14ac:dyDescent="0.2">
      <c r="A648" s="2" t="s">
        <v>80</v>
      </c>
      <c r="B648" s="4">
        <v>9</v>
      </c>
      <c r="C648" s="5">
        <v>0.68</v>
      </c>
      <c r="D648" s="4">
        <v>1</v>
      </c>
      <c r="E648" s="5">
        <v>0.13</v>
      </c>
      <c r="F648" s="4">
        <v>8</v>
      </c>
      <c r="G648" s="5">
        <v>1.45</v>
      </c>
      <c r="H648" s="4">
        <v>0</v>
      </c>
    </row>
    <row r="649" spans="1:8" x14ac:dyDescent="0.2">
      <c r="A649" s="2" t="s">
        <v>81</v>
      </c>
      <c r="B649" s="4">
        <v>396</v>
      </c>
      <c r="C649" s="5">
        <v>29.91</v>
      </c>
      <c r="D649" s="4">
        <v>217</v>
      </c>
      <c r="E649" s="5">
        <v>28.55</v>
      </c>
      <c r="F649" s="4">
        <v>179</v>
      </c>
      <c r="G649" s="5">
        <v>32.369999999999997</v>
      </c>
      <c r="H649" s="4">
        <v>0</v>
      </c>
    </row>
    <row r="650" spans="1:8" x14ac:dyDescent="0.2">
      <c r="A650" s="2" t="s">
        <v>82</v>
      </c>
      <c r="B650" s="4">
        <v>6</v>
      </c>
      <c r="C650" s="5">
        <v>0.45</v>
      </c>
      <c r="D650" s="4">
        <v>1</v>
      </c>
      <c r="E650" s="5">
        <v>0.13</v>
      </c>
      <c r="F650" s="4">
        <v>5</v>
      </c>
      <c r="G650" s="5">
        <v>0.9</v>
      </c>
      <c r="H650" s="4">
        <v>0</v>
      </c>
    </row>
    <row r="651" spans="1:8" x14ac:dyDescent="0.2">
      <c r="A651" s="2" t="s">
        <v>83</v>
      </c>
      <c r="B651" s="4">
        <v>74</v>
      </c>
      <c r="C651" s="5">
        <v>5.59</v>
      </c>
      <c r="D651" s="4">
        <v>26</v>
      </c>
      <c r="E651" s="5">
        <v>3.42</v>
      </c>
      <c r="F651" s="4">
        <v>48</v>
      </c>
      <c r="G651" s="5">
        <v>8.68</v>
      </c>
      <c r="H651" s="4">
        <v>0</v>
      </c>
    </row>
    <row r="652" spans="1:8" x14ac:dyDescent="0.2">
      <c r="A652" s="2" t="s">
        <v>84</v>
      </c>
      <c r="B652" s="4">
        <v>58</v>
      </c>
      <c r="C652" s="5">
        <v>4.38</v>
      </c>
      <c r="D652" s="4">
        <v>33</v>
      </c>
      <c r="E652" s="5">
        <v>4.34</v>
      </c>
      <c r="F652" s="4">
        <v>24</v>
      </c>
      <c r="G652" s="5">
        <v>4.34</v>
      </c>
      <c r="H652" s="4">
        <v>1</v>
      </c>
    </row>
    <row r="653" spans="1:8" x14ac:dyDescent="0.2">
      <c r="A653" s="2" t="s">
        <v>85</v>
      </c>
      <c r="B653" s="4">
        <v>150</v>
      </c>
      <c r="C653" s="5">
        <v>11.33</v>
      </c>
      <c r="D653" s="4">
        <v>132</v>
      </c>
      <c r="E653" s="5">
        <v>17.37</v>
      </c>
      <c r="F653" s="4">
        <v>17</v>
      </c>
      <c r="G653" s="5">
        <v>3.07</v>
      </c>
      <c r="H653" s="4">
        <v>1</v>
      </c>
    </row>
    <row r="654" spans="1:8" x14ac:dyDescent="0.2">
      <c r="A654" s="2" t="s">
        <v>86</v>
      </c>
      <c r="B654" s="4">
        <v>160</v>
      </c>
      <c r="C654" s="5">
        <v>12.08</v>
      </c>
      <c r="D654" s="4">
        <v>133</v>
      </c>
      <c r="E654" s="5">
        <v>17.5</v>
      </c>
      <c r="F654" s="4">
        <v>27</v>
      </c>
      <c r="G654" s="5">
        <v>4.88</v>
      </c>
      <c r="H654" s="4">
        <v>0</v>
      </c>
    </row>
    <row r="655" spans="1:8" x14ac:dyDescent="0.2">
      <c r="A655" s="2" t="s">
        <v>87</v>
      </c>
      <c r="B655" s="4">
        <v>23</v>
      </c>
      <c r="C655" s="5">
        <v>1.74</v>
      </c>
      <c r="D655" s="4">
        <v>16</v>
      </c>
      <c r="E655" s="5">
        <v>2.11</v>
      </c>
      <c r="F655" s="4">
        <v>6</v>
      </c>
      <c r="G655" s="5">
        <v>1.08</v>
      </c>
      <c r="H655" s="4">
        <v>0</v>
      </c>
    </row>
    <row r="656" spans="1:8" x14ac:dyDescent="0.2">
      <c r="A656" s="2" t="s">
        <v>88</v>
      </c>
      <c r="B656" s="4">
        <v>56</v>
      </c>
      <c r="C656" s="5">
        <v>4.2300000000000004</v>
      </c>
      <c r="D656" s="4">
        <v>35</v>
      </c>
      <c r="E656" s="5">
        <v>4.6100000000000003</v>
      </c>
      <c r="F656" s="4">
        <v>18</v>
      </c>
      <c r="G656" s="5">
        <v>3.25</v>
      </c>
      <c r="H656" s="4">
        <v>0</v>
      </c>
    </row>
    <row r="657" spans="1:8" x14ac:dyDescent="0.2">
      <c r="A657" s="2" t="s">
        <v>89</v>
      </c>
      <c r="B657" s="4">
        <v>53</v>
      </c>
      <c r="C657" s="5">
        <v>4</v>
      </c>
      <c r="D657" s="4">
        <v>27</v>
      </c>
      <c r="E657" s="5">
        <v>3.55</v>
      </c>
      <c r="F657" s="4">
        <v>23</v>
      </c>
      <c r="G657" s="5">
        <v>4.16</v>
      </c>
      <c r="H657" s="4">
        <v>3</v>
      </c>
    </row>
    <row r="658" spans="1:8" x14ac:dyDescent="0.2">
      <c r="A658" s="1" t="s">
        <v>41</v>
      </c>
      <c r="B658" s="4">
        <v>883</v>
      </c>
      <c r="C658" s="5">
        <v>100.01</v>
      </c>
      <c r="D658" s="4">
        <v>577</v>
      </c>
      <c r="E658" s="5">
        <v>99.990000000000009</v>
      </c>
      <c r="F658" s="4">
        <v>295</v>
      </c>
      <c r="G658" s="5">
        <v>99.999999999999986</v>
      </c>
      <c r="H658" s="4">
        <v>2</v>
      </c>
    </row>
    <row r="659" spans="1:8" x14ac:dyDescent="0.2">
      <c r="A659" s="2" t="s">
        <v>75</v>
      </c>
      <c r="B659" s="4">
        <v>0</v>
      </c>
      <c r="C659" s="5">
        <v>0</v>
      </c>
      <c r="D659" s="4">
        <v>0</v>
      </c>
      <c r="E659" s="5">
        <v>0</v>
      </c>
      <c r="F659" s="4">
        <v>0</v>
      </c>
      <c r="G659" s="5">
        <v>0</v>
      </c>
      <c r="H659" s="4">
        <v>0</v>
      </c>
    </row>
    <row r="660" spans="1:8" x14ac:dyDescent="0.2">
      <c r="A660" s="2" t="s">
        <v>76</v>
      </c>
      <c r="B660" s="4">
        <v>178</v>
      </c>
      <c r="C660" s="5">
        <v>20.16</v>
      </c>
      <c r="D660" s="4">
        <v>102</v>
      </c>
      <c r="E660" s="5">
        <v>17.68</v>
      </c>
      <c r="F660" s="4">
        <v>76</v>
      </c>
      <c r="G660" s="5">
        <v>25.76</v>
      </c>
      <c r="H660" s="4">
        <v>0</v>
      </c>
    </row>
    <row r="661" spans="1:8" x14ac:dyDescent="0.2">
      <c r="A661" s="2" t="s">
        <v>77</v>
      </c>
      <c r="B661" s="4">
        <v>90</v>
      </c>
      <c r="C661" s="5">
        <v>10.19</v>
      </c>
      <c r="D661" s="4">
        <v>40</v>
      </c>
      <c r="E661" s="5">
        <v>6.93</v>
      </c>
      <c r="F661" s="4">
        <v>50</v>
      </c>
      <c r="G661" s="5">
        <v>16.95</v>
      </c>
      <c r="H661" s="4">
        <v>0</v>
      </c>
    </row>
    <row r="662" spans="1:8" x14ac:dyDescent="0.2">
      <c r="A662" s="2" t="s">
        <v>78</v>
      </c>
      <c r="B662" s="4">
        <v>2</v>
      </c>
      <c r="C662" s="5">
        <v>0.23</v>
      </c>
      <c r="D662" s="4">
        <v>0</v>
      </c>
      <c r="E662" s="5">
        <v>0</v>
      </c>
      <c r="F662" s="4">
        <v>2</v>
      </c>
      <c r="G662" s="5">
        <v>0.68</v>
      </c>
      <c r="H662" s="4">
        <v>0</v>
      </c>
    </row>
    <row r="663" spans="1:8" x14ac:dyDescent="0.2">
      <c r="A663" s="2" t="s">
        <v>79</v>
      </c>
      <c r="B663" s="4">
        <v>2</v>
      </c>
      <c r="C663" s="5">
        <v>0.23</v>
      </c>
      <c r="D663" s="4">
        <v>1</v>
      </c>
      <c r="E663" s="5">
        <v>0.17</v>
      </c>
      <c r="F663" s="4">
        <v>1</v>
      </c>
      <c r="G663" s="5">
        <v>0.34</v>
      </c>
      <c r="H663" s="4">
        <v>0</v>
      </c>
    </row>
    <row r="664" spans="1:8" x14ac:dyDescent="0.2">
      <c r="A664" s="2" t="s">
        <v>80</v>
      </c>
      <c r="B664" s="4">
        <v>4</v>
      </c>
      <c r="C664" s="5">
        <v>0.45</v>
      </c>
      <c r="D664" s="4">
        <v>3</v>
      </c>
      <c r="E664" s="5">
        <v>0.52</v>
      </c>
      <c r="F664" s="4">
        <v>1</v>
      </c>
      <c r="G664" s="5">
        <v>0.34</v>
      </c>
      <c r="H664" s="4">
        <v>0</v>
      </c>
    </row>
    <row r="665" spans="1:8" x14ac:dyDescent="0.2">
      <c r="A665" s="2" t="s">
        <v>81</v>
      </c>
      <c r="B665" s="4">
        <v>248</v>
      </c>
      <c r="C665" s="5">
        <v>28.09</v>
      </c>
      <c r="D665" s="4">
        <v>160</v>
      </c>
      <c r="E665" s="5">
        <v>27.73</v>
      </c>
      <c r="F665" s="4">
        <v>87</v>
      </c>
      <c r="G665" s="5">
        <v>29.49</v>
      </c>
      <c r="H665" s="4">
        <v>1</v>
      </c>
    </row>
    <row r="666" spans="1:8" x14ac:dyDescent="0.2">
      <c r="A666" s="2" t="s">
        <v>82</v>
      </c>
      <c r="B666" s="4">
        <v>5</v>
      </c>
      <c r="C666" s="5">
        <v>0.56999999999999995</v>
      </c>
      <c r="D666" s="4">
        <v>1</v>
      </c>
      <c r="E666" s="5">
        <v>0.17</v>
      </c>
      <c r="F666" s="4">
        <v>4</v>
      </c>
      <c r="G666" s="5">
        <v>1.36</v>
      </c>
      <c r="H666" s="4">
        <v>0</v>
      </c>
    </row>
    <row r="667" spans="1:8" x14ac:dyDescent="0.2">
      <c r="A667" s="2" t="s">
        <v>83</v>
      </c>
      <c r="B667" s="4">
        <v>49</v>
      </c>
      <c r="C667" s="5">
        <v>5.55</v>
      </c>
      <c r="D667" s="4">
        <v>23</v>
      </c>
      <c r="E667" s="5">
        <v>3.99</v>
      </c>
      <c r="F667" s="4">
        <v>26</v>
      </c>
      <c r="G667" s="5">
        <v>8.81</v>
      </c>
      <c r="H667" s="4">
        <v>0</v>
      </c>
    </row>
    <row r="668" spans="1:8" x14ac:dyDescent="0.2">
      <c r="A668" s="2" t="s">
        <v>84</v>
      </c>
      <c r="B668" s="4">
        <v>26</v>
      </c>
      <c r="C668" s="5">
        <v>2.94</v>
      </c>
      <c r="D668" s="4">
        <v>15</v>
      </c>
      <c r="E668" s="5">
        <v>2.6</v>
      </c>
      <c r="F668" s="4">
        <v>8</v>
      </c>
      <c r="G668" s="5">
        <v>2.71</v>
      </c>
      <c r="H668" s="4">
        <v>0</v>
      </c>
    </row>
    <row r="669" spans="1:8" x14ac:dyDescent="0.2">
      <c r="A669" s="2" t="s">
        <v>85</v>
      </c>
      <c r="B669" s="4">
        <v>54</v>
      </c>
      <c r="C669" s="5">
        <v>6.12</v>
      </c>
      <c r="D669" s="4">
        <v>51</v>
      </c>
      <c r="E669" s="5">
        <v>8.84</v>
      </c>
      <c r="F669" s="4">
        <v>3</v>
      </c>
      <c r="G669" s="5">
        <v>1.02</v>
      </c>
      <c r="H669" s="4">
        <v>0</v>
      </c>
    </row>
    <row r="670" spans="1:8" x14ac:dyDescent="0.2">
      <c r="A670" s="2" t="s">
        <v>86</v>
      </c>
      <c r="B670" s="4">
        <v>110</v>
      </c>
      <c r="C670" s="5">
        <v>12.46</v>
      </c>
      <c r="D670" s="4">
        <v>101</v>
      </c>
      <c r="E670" s="5">
        <v>17.5</v>
      </c>
      <c r="F670" s="4">
        <v>7</v>
      </c>
      <c r="G670" s="5">
        <v>2.37</v>
      </c>
      <c r="H670" s="4">
        <v>0</v>
      </c>
    </row>
    <row r="671" spans="1:8" x14ac:dyDescent="0.2">
      <c r="A671" s="2" t="s">
        <v>87</v>
      </c>
      <c r="B671" s="4">
        <v>28</v>
      </c>
      <c r="C671" s="5">
        <v>3.17</v>
      </c>
      <c r="D671" s="4">
        <v>22</v>
      </c>
      <c r="E671" s="5">
        <v>3.81</v>
      </c>
      <c r="F671" s="4">
        <v>3</v>
      </c>
      <c r="G671" s="5">
        <v>1.02</v>
      </c>
      <c r="H671" s="4">
        <v>0</v>
      </c>
    </row>
    <row r="672" spans="1:8" x14ac:dyDescent="0.2">
      <c r="A672" s="2" t="s">
        <v>88</v>
      </c>
      <c r="B672" s="4">
        <v>53</v>
      </c>
      <c r="C672" s="5">
        <v>6</v>
      </c>
      <c r="D672" s="4">
        <v>34</v>
      </c>
      <c r="E672" s="5">
        <v>5.89</v>
      </c>
      <c r="F672" s="4">
        <v>19</v>
      </c>
      <c r="G672" s="5">
        <v>6.44</v>
      </c>
      <c r="H672" s="4">
        <v>0</v>
      </c>
    </row>
    <row r="673" spans="1:8" x14ac:dyDescent="0.2">
      <c r="A673" s="2" t="s">
        <v>89</v>
      </c>
      <c r="B673" s="4">
        <v>34</v>
      </c>
      <c r="C673" s="5">
        <v>3.85</v>
      </c>
      <c r="D673" s="4">
        <v>24</v>
      </c>
      <c r="E673" s="5">
        <v>4.16</v>
      </c>
      <c r="F673" s="4">
        <v>8</v>
      </c>
      <c r="G673" s="5">
        <v>2.71</v>
      </c>
      <c r="H673" s="4">
        <v>1</v>
      </c>
    </row>
    <row r="674" spans="1:8" x14ac:dyDescent="0.2">
      <c r="A674" s="1" t="s">
        <v>42</v>
      </c>
      <c r="B674" s="4">
        <v>1752</v>
      </c>
      <c r="C674" s="5">
        <v>100</v>
      </c>
      <c r="D674" s="4">
        <v>1024</v>
      </c>
      <c r="E674" s="5">
        <v>100.01</v>
      </c>
      <c r="F674" s="4">
        <v>704</v>
      </c>
      <c r="G674" s="5">
        <v>99.990000000000009</v>
      </c>
      <c r="H674" s="4">
        <v>3</v>
      </c>
    </row>
    <row r="675" spans="1:8" x14ac:dyDescent="0.2">
      <c r="A675" s="2" t="s">
        <v>75</v>
      </c>
      <c r="B675" s="4">
        <v>0</v>
      </c>
      <c r="C675" s="5">
        <v>0</v>
      </c>
      <c r="D675" s="4">
        <v>0</v>
      </c>
      <c r="E675" s="5">
        <v>0</v>
      </c>
      <c r="F675" s="4">
        <v>0</v>
      </c>
      <c r="G675" s="5">
        <v>0</v>
      </c>
      <c r="H675" s="4">
        <v>0</v>
      </c>
    </row>
    <row r="676" spans="1:8" x14ac:dyDescent="0.2">
      <c r="A676" s="2" t="s">
        <v>76</v>
      </c>
      <c r="B676" s="4">
        <v>296</v>
      </c>
      <c r="C676" s="5">
        <v>16.89</v>
      </c>
      <c r="D676" s="4">
        <v>142</v>
      </c>
      <c r="E676" s="5">
        <v>13.87</v>
      </c>
      <c r="F676" s="4">
        <v>154</v>
      </c>
      <c r="G676" s="5">
        <v>21.88</v>
      </c>
      <c r="H676" s="4">
        <v>0</v>
      </c>
    </row>
    <row r="677" spans="1:8" x14ac:dyDescent="0.2">
      <c r="A677" s="2" t="s">
        <v>77</v>
      </c>
      <c r="B677" s="4">
        <v>119</v>
      </c>
      <c r="C677" s="5">
        <v>6.79</v>
      </c>
      <c r="D677" s="4">
        <v>67</v>
      </c>
      <c r="E677" s="5">
        <v>6.54</v>
      </c>
      <c r="F677" s="4">
        <v>51</v>
      </c>
      <c r="G677" s="5">
        <v>7.24</v>
      </c>
      <c r="H677" s="4">
        <v>1</v>
      </c>
    </row>
    <row r="678" spans="1:8" x14ac:dyDescent="0.2">
      <c r="A678" s="2" t="s">
        <v>78</v>
      </c>
      <c r="B678" s="4">
        <v>1</v>
      </c>
      <c r="C678" s="5">
        <v>0.06</v>
      </c>
      <c r="D678" s="4">
        <v>0</v>
      </c>
      <c r="E678" s="5">
        <v>0</v>
      </c>
      <c r="F678" s="4">
        <v>1</v>
      </c>
      <c r="G678" s="5">
        <v>0.14000000000000001</v>
      </c>
      <c r="H678" s="4">
        <v>0</v>
      </c>
    </row>
    <row r="679" spans="1:8" x14ac:dyDescent="0.2">
      <c r="A679" s="2" t="s">
        <v>79</v>
      </c>
      <c r="B679" s="4">
        <v>15</v>
      </c>
      <c r="C679" s="5">
        <v>0.86</v>
      </c>
      <c r="D679" s="4">
        <v>0</v>
      </c>
      <c r="E679" s="5">
        <v>0</v>
      </c>
      <c r="F679" s="4">
        <v>15</v>
      </c>
      <c r="G679" s="5">
        <v>2.13</v>
      </c>
      <c r="H679" s="4">
        <v>0</v>
      </c>
    </row>
    <row r="680" spans="1:8" x14ac:dyDescent="0.2">
      <c r="A680" s="2" t="s">
        <v>80</v>
      </c>
      <c r="B680" s="4">
        <v>30</v>
      </c>
      <c r="C680" s="5">
        <v>1.71</v>
      </c>
      <c r="D680" s="4">
        <v>26</v>
      </c>
      <c r="E680" s="5">
        <v>2.54</v>
      </c>
      <c r="F680" s="4">
        <v>4</v>
      </c>
      <c r="G680" s="5">
        <v>0.56999999999999995</v>
      </c>
      <c r="H680" s="4">
        <v>0</v>
      </c>
    </row>
    <row r="681" spans="1:8" x14ac:dyDescent="0.2">
      <c r="A681" s="2" t="s">
        <v>81</v>
      </c>
      <c r="B681" s="4">
        <v>459</v>
      </c>
      <c r="C681" s="5">
        <v>26.2</v>
      </c>
      <c r="D681" s="4">
        <v>261</v>
      </c>
      <c r="E681" s="5">
        <v>25.49</v>
      </c>
      <c r="F681" s="4">
        <v>197</v>
      </c>
      <c r="G681" s="5">
        <v>27.98</v>
      </c>
      <c r="H681" s="4">
        <v>1</v>
      </c>
    </row>
    <row r="682" spans="1:8" x14ac:dyDescent="0.2">
      <c r="A682" s="2" t="s">
        <v>82</v>
      </c>
      <c r="B682" s="4">
        <v>4</v>
      </c>
      <c r="C682" s="5">
        <v>0.23</v>
      </c>
      <c r="D682" s="4">
        <v>0</v>
      </c>
      <c r="E682" s="5">
        <v>0</v>
      </c>
      <c r="F682" s="4">
        <v>4</v>
      </c>
      <c r="G682" s="5">
        <v>0.56999999999999995</v>
      </c>
      <c r="H682" s="4">
        <v>0</v>
      </c>
    </row>
    <row r="683" spans="1:8" x14ac:dyDescent="0.2">
      <c r="A683" s="2" t="s">
        <v>83</v>
      </c>
      <c r="B683" s="4">
        <v>93</v>
      </c>
      <c r="C683" s="5">
        <v>5.31</v>
      </c>
      <c r="D683" s="4">
        <v>23</v>
      </c>
      <c r="E683" s="5">
        <v>2.25</v>
      </c>
      <c r="F683" s="4">
        <v>70</v>
      </c>
      <c r="G683" s="5">
        <v>9.94</v>
      </c>
      <c r="H683" s="4">
        <v>0</v>
      </c>
    </row>
    <row r="684" spans="1:8" x14ac:dyDescent="0.2">
      <c r="A684" s="2" t="s">
        <v>84</v>
      </c>
      <c r="B684" s="4">
        <v>84</v>
      </c>
      <c r="C684" s="5">
        <v>4.79</v>
      </c>
      <c r="D684" s="4">
        <v>39</v>
      </c>
      <c r="E684" s="5">
        <v>3.81</v>
      </c>
      <c r="F684" s="4">
        <v>45</v>
      </c>
      <c r="G684" s="5">
        <v>6.39</v>
      </c>
      <c r="H684" s="4">
        <v>0</v>
      </c>
    </row>
    <row r="685" spans="1:8" x14ac:dyDescent="0.2">
      <c r="A685" s="2" t="s">
        <v>85</v>
      </c>
      <c r="B685" s="4">
        <v>212</v>
      </c>
      <c r="C685" s="5">
        <v>12.1</v>
      </c>
      <c r="D685" s="4">
        <v>171</v>
      </c>
      <c r="E685" s="5">
        <v>16.7</v>
      </c>
      <c r="F685" s="4">
        <v>41</v>
      </c>
      <c r="G685" s="5">
        <v>5.82</v>
      </c>
      <c r="H685" s="4">
        <v>0</v>
      </c>
    </row>
    <row r="686" spans="1:8" x14ac:dyDescent="0.2">
      <c r="A686" s="2" t="s">
        <v>86</v>
      </c>
      <c r="B686" s="4">
        <v>207</v>
      </c>
      <c r="C686" s="5">
        <v>11.82</v>
      </c>
      <c r="D686" s="4">
        <v>160</v>
      </c>
      <c r="E686" s="5">
        <v>15.63</v>
      </c>
      <c r="F686" s="4">
        <v>46</v>
      </c>
      <c r="G686" s="5">
        <v>6.53</v>
      </c>
      <c r="H686" s="4">
        <v>1</v>
      </c>
    </row>
    <row r="687" spans="1:8" x14ac:dyDescent="0.2">
      <c r="A687" s="2" t="s">
        <v>87</v>
      </c>
      <c r="B687" s="4">
        <v>64</v>
      </c>
      <c r="C687" s="5">
        <v>3.65</v>
      </c>
      <c r="D687" s="4">
        <v>45</v>
      </c>
      <c r="E687" s="5">
        <v>4.3899999999999997</v>
      </c>
      <c r="F687" s="4">
        <v>18</v>
      </c>
      <c r="G687" s="5">
        <v>2.56</v>
      </c>
      <c r="H687" s="4">
        <v>0</v>
      </c>
    </row>
    <row r="688" spans="1:8" x14ac:dyDescent="0.2">
      <c r="A688" s="2" t="s">
        <v>88</v>
      </c>
      <c r="B688" s="4">
        <v>92</v>
      </c>
      <c r="C688" s="5">
        <v>5.25</v>
      </c>
      <c r="D688" s="4">
        <v>59</v>
      </c>
      <c r="E688" s="5">
        <v>5.76</v>
      </c>
      <c r="F688" s="4">
        <v>30</v>
      </c>
      <c r="G688" s="5">
        <v>4.26</v>
      </c>
      <c r="H688" s="4">
        <v>0</v>
      </c>
    </row>
    <row r="689" spans="1:8" x14ac:dyDescent="0.2">
      <c r="A689" s="2" t="s">
        <v>89</v>
      </c>
      <c r="B689" s="4">
        <v>76</v>
      </c>
      <c r="C689" s="5">
        <v>4.34</v>
      </c>
      <c r="D689" s="4">
        <v>31</v>
      </c>
      <c r="E689" s="5">
        <v>3.03</v>
      </c>
      <c r="F689" s="4">
        <v>28</v>
      </c>
      <c r="G689" s="5">
        <v>3.98</v>
      </c>
      <c r="H689" s="4">
        <v>0</v>
      </c>
    </row>
    <row r="690" spans="1:8" x14ac:dyDescent="0.2">
      <c r="A690" s="1" t="s">
        <v>43</v>
      </c>
      <c r="B690" s="4">
        <v>1074</v>
      </c>
      <c r="C690" s="5">
        <v>100</v>
      </c>
      <c r="D690" s="4">
        <v>495</v>
      </c>
      <c r="E690" s="5">
        <v>99.999999999999986</v>
      </c>
      <c r="F690" s="4">
        <v>572</v>
      </c>
      <c r="G690" s="5">
        <v>99.999999999999986</v>
      </c>
      <c r="H690" s="4">
        <v>0</v>
      </c>
    </row>
    <row r="691" spans="1:8" x14ac:dyDescent="0.2">
      <c r="A691" s="2" t="s">
        <v>75</v>
      </c>
      <c r="B691" s="4">
        <v>0</v>
      </c>
      <c r="C691" s="5">
        <v>0</v>
      </c>
      <c r="D691" s="4">
        <v>0</v>
      </c>
      <c r="E691" s="5">
        <v>0</v>
      </c>
      <c r="F691" s="4">
        <v>0</v>
      </c>
      <c r="G691" s="5">
        <v>0</v>
      </c>
      <c r="H691" s="4">
        <v>0</v>
      </c>
    </row>
    <row r="692" spans="1:8" x14ac:dyDescent="0.2">
      <c r="A692" s="2" t="s">
        <v>76</v>
      </c>
      <c r="B692" s="4">
        <v>274</v>
      </c>
      <c r="C692" s="5">
        <v>25.51</v>
      </c>
      <c r="D692" s="4">
        <v>83</v>
      </c>
      <c r="E692" s="5">
        <v>16.77</v>
      </c>
      <c r="F692" s="4">
        <v>191</v>
      </c>
      <c r="G692" s="5">
        <v>33.39</v>
      </c>
      <c r="H692" s="4">
        <v>0</v>
      </c>
    </row>
    <row r="693" spans="1:8" x14ac:dyDescent="0.2">
      <c r="A693" s="2" t="s">
        <v>77</v>
      </c>
      <c r="B693" s="4">
        <v>103</v>
      </c>
      <c r="C693" s="5">
        <v>9.59</v>
      </c>
      <c r="D693" s="4">
        <v>33</v>
      </c>
      <c r="E693" s="5">
        <v>6.67</v>
      </c>
      <c r="F693" s="4">
        <v>70</v>
      </c>
      <c r="G693" s="5">
        <v>12.24</v>
      </c>
      <c r="H693" s="4">
        <v>0</v>
      </c>
    </row>
    <row r="694" spans="1:8" x14ac:dyDescent="0.2">
      <c r="A694" s="2" t="s">
        <v>78</v>
      </c>
      <c r="B694" s="4">
        <v>3</v>
      </c>
      <c r="C694" s="5">
        <v>0.28000000000000003</v>
      </c>
      <c r="D694" s="4">
        <v>0</v>
      </c>
      <c r="E694" s="5">
        <v>0</v>
      </c>
      <c r="F694" s="4">
        <v>0</v>
      </c>
      <c r="G694" s="5">
        <v>0</v>
      </c>
      <c r="H694" s="4">
        <v>0</v>
      </c>
    </row>
    <row r="695" spans="1:8" x14ac:dyDescent="0.2">
      <c r="A695" s="2" t="s">
        <v>79</v>
      </c>
      <c r="B695" s="4">
        <v>6</v>
      </c>
      <c r="C695" s="5">
        <v>0.56000000000000005</v>
      </c>
      <c r="D695" s="4">
        <v>1</v>
      </c>
      <c r="E695" s="5">
        <v>0.2</v>
      </c>
      <c r="F695" s="4">
        <v>5</v>
      </c>
      <c r="G695" s="5">
        <v>0.87</v>
      </c>
      <c r="H695" s="4">
        <v>0</v>
      </c>
    </row>
    <row r="696" spans="1:8" x14ac:dyDescent="0.2">
      <c r="A696" s="2" t="s">
        <v>80</v>
      </c>
      <c r="B696" s="4">
        <v>13</v>
      </c>
      <c r="C696" s="5">
        <v>1.21</v>
      </c>
      <c r="D696" s="4">
        <v>10</v>
      </c>
      <c r="E696" s="5">
        <v>2.02</v>
      </c>
      <c r="F696" s="4">
        <v>3</v>
      </c>
      <c r="G696" s="5">
        <v>0.52</v>
      </c>
      <c r="H696" s="4">
        <v>0</v>
      </c>
    </row>
    <row r="697" spans="1:8" x14ac:dyDescent="0.2">
      <c r="A697" s="2" t="s">
        <v>81</v>
      </c>
      <c r="B697" s="4">
        <v>224</v>
      </c>
      <c r="C697" s="5">
        <v>20.86</v>
      </c>
      <c r="D697" s="4">
        <v>102</v>
      </c>
      <c r="E697" s="5">
        <v>20.61</v>
      </c>
      <c r="F697" s="4">
        <v>122</v>
      </c>
      <c r="G697" s="5">
        <v>21.33</v>
      </c>
      <c r="H697" s="4">
        <v>0</v>
      </c>
    </row>
    <row r="698" spans="1:8" x14ac:dyDescent="0.2">
      <c r="A698" s="2" t="s">
        <v>82</v>
      </c>
      <c r="B698" s="4">
        <v>4</v>
      </c>
      <c r="C698" s="5">
        <v>0.37</v>
      </c>
      <c r="D698" s="4">
        <v>1</v>
      </c>
      <c r="E698" s="5">
        <v>0.2</v>
      </c>
      <c r="F698" s="4">
        <v>3</v>
      </c>
      <c r="G698" s="5">
        <v>0.52</v>
      </c>
      <c r="H698" s="4">
        <v>0</v>
      </c>
    </row>
    <row r="699" spans="1:8" x14ac:dyDescent="0.2">
      <c r="A699" s="2" t="s">
        <v>83</v>
      </c>
      <c r="B699" s="4">
        <v>58</v>
      </c>
      <c r="C699" s="5">
        <v>5.4</v>
      </c>
      <c r="D699" s="4">
        <v>3</v>
      </c>
      <c r="E699" s="5">
        <v>0.61</v>
      </c>
      <c r="F699" s="4">
        <v>55</v>
      </c>
      <c r="G699" s="5">
        <v>9.6199999999999992</v>
      </c>
      <c r="H699" s="4">
        <v>0</v>
      </c>
    </row>
    <row r="700" spans="1:8" x14ac:dyDescent="0.2">
      <c r="A700" s="2" t="s">
        <v>84</v>
      </c>
      <c r="B700" s="4">
        <v>53</v>
      </c>
      <c r="C700" s="5">
        <v>4.93</v>
      </c>
      <c r="D700" s="4">
        <v>26</v>
      </c>
      <c r="E700" s="5">
        <v>5.25</v>
      </c>
      <c r="F700" s="4">
        <v>27</v>
      </c>
      <c r="G700" s="5">
        <v>4.72</v>
      </c>
      <c r="H700" s="4">
        <v>0</v>
      </c>
    </row>
    <row r="701" spans="1:8" x14ac:dyDescent="0.2">
      <c r="A701" s="2" t="s">
        <v>85</v>
      </c>
      <c r="B701" s="4">
        <v>93</v>
      </c>
      <c r="C701" s="5">
        <v>8.66</v>
      </c>
      <c r="D701" s="4">
        <v>79</v>
      </c>
      <c r="E701" s="5">
        <v>15.96</v>
      </c>
      <c r="F701" s="4">
        <v>14</v>
      </c>
      <c r="G701" s="5">
        <v>2.4500000000000002</v>
      </c>
      <c r="H701" s="4">
        <v>0</v>
      </c>
    </row>
    <row r="702" spans="1:8" x14ac:dyDescent="0.2">
      <c r="A702" s="2" t="s">
        <v>86</v>
      </c>
      <c r="B702" s="4">
        <v>113</v>
      </c>
      <c r="C702" s="5">
        <v>10.52</v>
      </c>
      <c r="D702" s="4">
        <v>80</v>
      </c>
      <c r="E702" s="5">
        <v>16.16</v>
      </c>
      <c r="F702" s="4">
        <v>33</v>
      </c>
      <c r="G702" s="5">
        <v>5.77</v>
      </c>
      <c r="H702" s="4">
        <v>0</v>
      </c>
    </row>
    <row r="703" spans="1:8" x14ac:dyDescent="0.2">
      <c r="A703" s="2" t="s">
        <v>87</v>
      </c>
      <c r="B703" s="4">
        <v>34</v>
      </c>
      <c r="C703" s="5">
        <v>3.17</v>
      </c>
      <c r="D703" s="4">
        <v>27</v>
      </c>
      <c r="E703" s="5">
        <v>5.45</v>
      </c>
      <c r="F703" s="4">
        <v>6</v>
      </c>
      <c r="G703" s="5">
        <v>1.05</v>
      </c>
      <c r="H703" s="4">
        <v>0</v>
      </c>
    </row>
    <row r="704" spans="1:8" x14ac:dyDescent="0.2">
      <c r="A704" s="2" t="s">
        <v>88</v>
      </c>
      <c r="B704" s="4">
        <v>36</v>
      </c>
      <c r="C704" s="5">
        <v>3.35</v>
      </c>
      <c r="D704" s="4">
        <v>21</v>
      </c>
      <c r="E704" s="5">
        <v>4.24</v>
      </c>
      <c r="F704" s="4">
        <v>12</v>
      </c>
      <c r="G704" s="5">
        <v>2.1</v>
      </c>
      <c r="H704" s="4">
        <v>0</v>
      </c>
    </row>
    <row r="705" spans="1:8" x14ac:dyDescent="0.2">
      <c r="A705" s="2" t="s">
        <v>89</v>
      </c>
      <c r="B705" s="4">
        <v>60</v>
      </c>
      <c r="C705" s="5">
        <v>5.59</v>
      </c>
      <c r="D705" s="4">
        <v>29</v>
      </c>
      <c r="E705" s="5">
        <v>5.86</v>
      </c>
      <c r="F705" s="4">
        <v>31</v>
      </c>
      <c r="G705" s="5">
        <v>5.42</v>
      </c>
      <c r="H705" s="4">
        <v>0</v>
      </c>
    </row>
    <row r="706" spans="1:8" x14ac:dyDescent="0.2">
      <c r="A706" s="1" t="s">
        <v>44</v>
      </c>
      <c r="B706" s="4">
        <v>779</v>
      </c>
      <c r="C706" s="5">
        <v>100.01000000000002</v>
      </c>
      <c r="D706" s="4">
        <v>370</v>
      </c>
      <c r="E706" s="5">
        <v>100.00999999999999</v>
      </c>
      <c r="F706" s="4">
        <v>401</v>
      </c>
      <c r="G706" s="5">
        <v>99.999999999999972</v>
      </c>
      <c r="H706" s="4">
        <v>1</v>
      </c>
    </row>
    <row r="707" spans="1:8" x14ac:dyDescent="0.2">
      <c r="A707" s="2" t="s">
        <v>75</v>
      </c>
      <c r="B707" s="4">
        <v>0</v>
      </c>
      <c r="C707" s="5">
        <v>0</v>
      </c>
      <c r="D707" s="4">
        <v>0</v>
      </c>
      <c r="E707" s="5">
        <v>0</v>
      </c>
      <c r="F707" s="4">
        <v>0</v>
      </c>
      <c r="G707" s="5">
        <v>0</v>
      </c>
      <c r="H707" s="4">
        <v>0</v>
      </c>
    </row>
    <row r="708" spans="1:8" x14ac:dyDescent="0.2">
      <c r="A708" s="2" t="s">
        <v>76</v>
      </c>
      <c r="B708" s="4">
        <v>189</v>
      </c>
      <c r="C708" s="5">
        <v>24.26</v>
      </c>
      <c r="D708" s="4">
        <v>76</v>
      </c>
      <c r="E708" s="5">
        <v>20.54</v>
      </c>
      <c r="F708" s="4">
        <v>113</v>
      </c>
      <c r="G708" s="5">
        <v>28.18</v>
      </c>
      <c r="H708" s="4">
        <v>0</v>
      </c>
    </row>
    <row r="709" spans="1:8" x14ac:dyDescent="0.2">
      <c r="A709" s="2" t="s">
        <v>77</v>
      </c>
      <c r="B709" s="4">
        <v>118</v>
      </c>
      <c r="C709" s="5">
        <v>15.15</v>
      </c>
      <c r="D709" s="4">
        <v>36</v>
      </c>
      <c r="E709" s="5">
        <v>9.73</v>
      </c>
      <c r="F709" s="4">
        <v>82</v>
      </c>
      <c r="G709" s="5">
        <v>20.45</v>
      </c>
      <c r="H709" s="4">
        <v>0</v>
      </c>
    </row>
    <row r="710" spans="1:8" x14ac:dyDescent="0.2">
      <c r="A710" s="2" t="s">
        <v>78</v>
      </c>
      <c r="B710" s="4">
        <v>2</v>
      </c>
      <c r="C710" s="5">
        <v>0.26</v>
      </c>
      <c r="D710" s="4">
        <v>0</v>
      </c>
      <c r="E710" s="5">
        <v>0</v>
      </c>
      <c r="F710" s="4">
        <v>0</v>
      </c>
      <c r="G710" s="5">
        <v>0</v>
      </c>
      <c r="H710" s="4">
        <v>0</v>
      </c>
    </row>
    <row r="711" spans="1:8" x14ac:dyDescent="0.2">
      <c r="A711" s="2" t="s">
        <v>79</v>
      </c>
      <c r="B711" s="4">
        <v>4</v>
      </c>
      <c r="C711" s="5">
        <v>0.51</v>
      </c>
      <c r="D711" s="4">
        <v>0</v>
      </c>
      <c r="E711" s="5">
        <v>0</v>
      </c>
      <c r="F711" s="4">
        <v>4</v>
      </c>
      <c r="G711" s="5">
        <v>1</v>
      </c>
      <c r="H711" s="4">
        <v>0</v>
      </c>
    </row>
    <row r="712" spans="1:8" x14ac:dyDescent="0.2">
      <c r="A712" s="2" t="s">
        <v>80</v>
      </c>
      <c r="B712" s="4">
        <v>30</v>
      </c>
      <c r="C712" s="5">
        <v>3.85</v>
      </c>
      <c r="D712" s="4">
        <v>14</v>
      </c>
      <c r="E712" s="5">
        <v>3.78</v>
      </c>
      <c r="F712" s="4">
        <v>16</v>
      </c>
      <c r="G712" s="5">
        <v>3.99</v>
      </c>
      <c r="H712" s="4">
        <v>0</v>
      </c>
    </row>
    <row r="713" spans="1:8" x14ac:dyDescent="0.2">
      <c r="A713" s="2" t="s">
        <v>81</v>
      </c>
      <c r="B713" s="4">
        <v>136</v>
      </c>
      <c r="C713" s="5">
        <v>17.46</v>
      </c>
      <c r="D713" s="4">
        <v>58</v>
      </c>
      <c r="E713" s="5">
        <v>15.68</v>
      </c>
      <c r="F713" s="4">
        <v>78</v>
      </c>
      <c r="G713" s="5">
        <v>19.45</v>
      </c>
      <c r="H713" s="4">
        <v>0</v>
      </c>
    </row>
    <row r="714" spans="1:8" x14ac:dyDescent="0.2">
      <c r="A714" s="2" t="s">
        <v>82</v>
      </c>
      <c r="B714" s="4">
        <v>8</v>
      </c>
      <c r="C714" s="5">
        <v>1.03</v>
      </c>
      <c r="D714" s="4">
        <v>2</v>
      </c>
      <c r="E714" s="5">
        <v>0.54</v>
      </c>
      <c r="F714" s="4">
        <v>6</v>
      </c>
      <c r="G714" s="5">
        <v>1.5</v>
      </c>
      <c r="H714" s="4">
        <v>0</v>
      </c>
    </row>
    <row r="715" spans="1:8" x14ac:dyDescent="0.2">
      <c r="A715" s="2" t="s">
        <v>83</v>
      </c>
      <c r="B715" s="4">
        <v>48</v>
      </c>
      <c r="C715" s="5">
        <v>6.16</v>
      </c>
      <c r="D715" s="4">
        <v>20</v>
      </c>
      <c r="E715" s="5">
        <v>5.41</v>
      </c>
      <c r="F715" s="4">
        <v>28</v>
      </c>
      <c r="G715" s="5">
        <v>6.98</v>
      </c>
      <c r="H715" s="4">
        <v>0</v>
      </c>
    </row>
    <row r="716" spans="1:8" x14ac:dyDescent="0.2">
      <c r="A716" s="2" t="s">
        <v>84</v>
      </c>
      <c r="B716" s="4">
        <v>44</v>
      </c>
      <c r="C716" s="5">
        <v>5.65</v>
      </c>
      <c r="D716" s="4">
        <v>25</v>
      </c>
      <c r="E716" s="5">
        <v>6.76</v>
      </c>
      <c r="F716" s="4">
        <v>19</v>
      </c>
      <c r="G716" s="5">
        <v>4.74</v>
      </c>
      <c r="H716" s="4">
        <v>0</v>
      </c>
    </row>
    <row r="717" spans="1:8" x14ac:dyDescent="0.2">
      <c r="A717" s="2" t="s">
        <v>85</v>
      </c>
      <c r="B717" s="4">
        <v>44</v>
      </c>
      <c r="C717" s="5">
        <v>5.65</v>
      </c>
      <c r="D717" s="4">
        <v>33</v>
      </c>
      <c r="E717" s="5">
        <v>8.92</v>
      </c>
      <c r="F717" s="4">
        <v>11</v>
      </c>
      <c r="G717" s="5">
        <v>2.74</v>
      </c>
      <c r="H717" s="4">
        <v>0</v>
      </c>
    </row>
    <row r="718" spans="1:8" x14ac:dyDescent="0.2">
      <c r="A718" s="2" t="s">
        <v>86</v>
      </c>
      <c r="B718" s="4">
        <v>62</v>
      </c>
      <c r="C718" s="5">
        <v>7.96</v>
      </c>
      <c r="D718" s="4">
        <v>51</v>
      </c>
      <c r="E718" s="5">
        <v>13.78</v>
      </c>
      <c r="F718" s="4">
        <v>11</v>
      </c>
      <c r="G718" s="5">
        <v>2.74</v>
      </c>
      <c r="H718" s="4">
        <v>0</v>
      </c>
    </row>
    <row r="719" spans="1:8" x14ac:dyDescent="0.2">
      <c r="A719" s="2" t="s">
        <v>87</v>
      </c>
      <c r="B719" s="4">
        <v>26</v>
      </c>
      <c r="C719" s="5">
        <v>3.34</v>
      </c>
      <c r="D719" s="4">
        <v>22</v>
      </c>
      <c r="E719" s="5">
        <v>5.95</v>
      </c>
      <c r="F719" s="4">
        <v>3</v>
      </c>
      <c r="G719" s="5">
        <v>0.75</v>
      </c>
      <c r="H719" s="4">
        <v>0</v>
      </c>
    </row>
    <row r="720" spans="1:8" x14ac:dyDescent="0.2">
      <c r="A720" s="2" t="s">
        <v>88</v>
      </c>
      <c r="B720" s="4">
        <v>27</v>
      </c>
      <c r="C720" s="5">
        <v>3.47</v>
      </c>
      <c r="D720" s="4">
        <v>13</v>
      </c>
      <c r="E720" s="5">
        <v>3.51</v>
      </c>
      <c r="F720" s="4">
        <v>11</v>
      </c>
      <c r="G720" s="5">
        <v>2.74</v>
      </c>
      <c r="H720" s="4">
        <v>1</v>
      </c>
    </row>
    <row r="721" spans="1:8" x14ac:dyDescent="0.2">
      <c r="A721" s="2" t="s">
        <v>89</v>
      </c>
      <c r="B721" s="4">
        <v>41</v>
      </c>
      <c r="C721" s="5">
        <v>5.26</v>
      </c>
      <c r="D721" s="4">
        <v>20</v>
      </c>
      <c r="E721" s="5">
        <v>5.41</v>
      </c>
      <c r="F721" s="4">
        <v>19</v>
      </c>
      <c r="G721" s="5">
        <v>4.74</v>
      </c>
      <c r="H721" s="4">
        <v>0</v>
      </c>
    </row>
    <row r="722" spans="1:8" x14ac:dyDescent="0.2">
      <c r="A722" s="1" t="s">
        <v>45</v>
      </c>
      <c r="B722" s="4">
        <v>400</v>
      </c>
      <c r="C722" s="5">
        <v>100</v>
      </c>
      <c r="D722" s="4">
        <v>192</v>
      </c>
      <c r="E722" s="5">
        <v>100.01000000000002</v>
      </c>
      <c r="F722" s="4">
        <v>206</v>
      </c>
      <c r="G722" s="5">
        <v>100.02000000000001</v>
      </c>
      <c r="H722" s="4">
        <v>0</v>
      </c>
    </row>
    <row r="723" spans="1:8" x14ac:dyDescent="0.2">
      <c r="A723" s="2" t="s">
        <v>75</v>
      </c>
      <c r="B723" s="4">
        <v>0</v>
      </c>
      <c r="C723" s="5">
        <v>0</v>
      </c>
      <c r="D723" s="4">
        <v>0</v>
      </c>
      <c r="E723" s="5">
        <v>0</v>
      </c>
      <c r="F723" s="4">
        <v>0</v>
      </c>
      <c r="G723" s="5">
        <v>0</v>
      </c>
      <c r="H723" s="4">
        <v>0</v>
      </c>
    </row>
    <row r="724" spans="1:8" x14ac:dyDescent="0.2">
      <c r="A724" s="2" t="s">
        <v>76</v>
      </c>
      <c r="B724" s="4">
        <v>66</v>
      </c>
      <c r="C724" s="5">
        <v>16.5</v>
      </c>
      <c r="D724" s="4">
        <v>19</v>
      </c>
      <c r="E724" s="5">
        <v>9.9</v>
      </c>
      <c r="F724" s="4">
        <v>47</v>
      </c>
      <c r="G724" s="5">
        <v>22.82</v>
      </c>
      <c r="H724" s="4">
        <v>0</v>
      </c>
    </row>
    <row r="725" spans="1:8" x14ac:dyDescent="0.2">
      <c r="A725" s="2" t="s">
        <v>77</v>
      </c>
      <c r="B725" s="4">
        <v>33</v>
      </c>
      <c r="C725" s="5">
        <v>8.25</v>
      </c>
      <c r="D725" s="4">
        <v>14</v>
      </c>
      <c r="E725" s="5">
        <v>7.29</v>
      </c>
      <c r="F725" s="4">
        <v>19</v>
      </c>
      <c r="G725" s="5">
        <v>9.2200000000000006</v>
      </c>
      <c r="H725" s="4">
        <v>0</v>
      </c>
    </row>
    <row r="726" spans="1:8" x14ac:dyDescent="0.2">
      <c r="A726" s="2" t="s">
        <v>78</v>
      </c>
      <c r="B726" s="4">
        <v>1</v>
      </c>
      <c r="C726" s="5">
        <v>0.25</v>
      </c>
      <c r="D726" s="4">
        <v>0</v>
      </c>
      <c r="E726" s="5">
        <v>0</v>
      </c>
      <c r="F726" s="4">
        <v>1</v>
      </c>
      <c r="G726" s="5">
        <v>0.49</v>
      </c>
      <c r="H726" s="4">
        <v>0</v>
      </c>
    </row>
    <row r="727" spans="1:8" x14ac:dyDescent="0.2">
      <c r="A727" s="2" t="s">
        <v>79</v>
      </c>
      <c r="B727" s="4">
        <v>5</v>
      </c>
      <c r="C727" s="5">
        <v>1.25</v>
      </c>
      <c r="D727" s="4">
        <v>0</v>
      </c>
      <c r="E727" s="5">
        <v>0</v>
      </c>
      <c r="F727" s="4">
        <v>5</v>
      </c>
      <c r="G727" s="5">
        <v>2.4300000000000002</v>
      </c>
      <c r="H727" s="4">
        <v>0</v>
      </c>
    </row>
    <row r="728" spans="1:8" x14ac:dyDescent="0.2">
      <c r="A728" s="2" t="s">
        <v>80</v>
      </c>
      <c r="B728" s="4">
        <v>10</v>
      </c>
      <c r="C728" s="5">
        <v>2.5</v>
      </c>
      <c r="D728" s="4">
        <v>1</v>
      </c>
      <c r="E728" s="5">
        <v>0.52</v>
      </c>
      <c r="F728" s="4">
        <v>9</v>
      </c>
      <c r="G728" s="5">
        <v>4.37</v>
      </c>
      <c r="H728" s="4">
        <v>0</v>
      </c>
    </row>
    <row r="729" spans="1:8" x14ac:dyDescent="0.2">
      <c r="A729" s="2" t="s">
        <v>81</v>
      </c>
      <c r="B729" s="4">
        <v>91</v>
      </c>
      <c r="C729" s="5">
        <v>22.75</v>
      </c>
      <c r="D729" s="4">
        <v>48</v>
      </c>
      <c r="E729" s="5">
        <v>25</v>
      </c>
      <c r="F729" s="4">
        <v>43</v>
      </c>
      <c r="G729" s="5">
        <v>20.87</v>
      </c>
      <c r="H729" s="4">
        <v>0</v>
      </c>
    </row>
    <row r="730" spans="1:8" x14ac:dyDescent="0.2">
      <c r="A730" s="2" t="s">
        <v>82</v>
      </c>
      <c r="B730" s="4">
        <v>1</v>
      </c>
      <c r="C730" s="5">
        <v>0.25</v>
      </c>
      <c r="D730" s="4">
        <v>0</v>
      </c>
      <c r="E730" s="5">
        <v>0</v>
      </c>
      <c r="F730" s="4">
        <v>1</v>
      </c>
      <c r="G730" s="5">
        <v>0.49</v>
      </c>
      <c r="H730" s="4">
        <v>0</v>
      </c>
    </row>
    <row r="731" spans="1:8" x14ac:dyDescent="0.2">
      <c r="A731" s="2" t="s">
        <v>83</v>
      </c>
      <c r="B731" s="4">
        <v>35</v>
      </c>
      <c r="C731" s="5">
        <v>8.75</v>
      </c>
      <c r="D731" s="4">
        <v>8</v>
      </c>
      <c r="E731" s="5">
        <v>4.17</v>
      </c>
      <c r="F731" s="4">
        <v>27</v>
      </c>
      <c r="G731" s="5">
        <v>13.11</v>
      </c>
      <c r="H731" s="4">
        <v>0</v>
      </c>
    </row>
    <row r="732" spans="1:8" x14ac:dyDescent="0.2">
      <c r="A732" s="2" t="s">
        <v>84</v>
      </c>
      <c r="B732" s="4">
        <v>19</v>
      </c>
      <c r="C732" s="5">
        <v>4.75</v>
      </c>
      <c r="D732" s="4">
        <v>7</v>
      </c>
      <c r="E732" s="5">
        <v>3.65</v>
      </c>
      <c r="F732" s="4">
        <v>12</v>
      </c>
      <c r="G732" s="5">
        <v>5.83</v>
      </c>
      <c r="H732" s="4">
        <v>0</v>
      </c>
    </row>
    <row r="733" spans="1:8" x14ac:dyDescent="0.2">
      <c r="A733" s="2" t="s">
        <v>85</v>
      </c>
      <c r="B733" s="4">
        <v>46</v>
      </c>
      <c r="C733" s="5">
        <v>11.5</v>
      </c>
      <c r="D733" s="4">
        <v>35</v>
      </c>
      <c r="E733" s="5">
        <v>18.23</v>
      </c>
      <c r="F733" s="4">
        <v>11</v>
      </c>
      <c r="G733" s="5">
        <v>5.34</v>
      </c>
      <c r="H733" s="4">
        <v>0</v>
      </c>
    </row>
    <row r="734" spans="1:8" x14ac:dyDescent="0.2">
      <c r="A734" s="2" t="s">
        <v>86</v>
      </c>
      <c r="B734" s="4">
        <v>52</v>
      </c>
      <c r="C734" s="5">
        <v>13</v>
      </c>
      <c r="D734" s="4">
        <v>38</v>
      </c>
      <c r="E734" s="5">
        <v>19.79</v>
      </c>
      <c r="F734" s="4">
        <v>13</v>
      </c>
      <c r="G734" s="5">
        <v>6.31</v>
      </c>
      <c r="H734" s="4">
        <v>0</v>
      </c>
    </row>
    <row r="735" spans="1:8" x14ac:dyDescent="0.2">
      <c r="A735" s="2" t="s">
        <v>87</v>
      </c>
      <c r="B735" s="4">
        <v>10</v>
      </c>
      <c r="C735" s="5">
        <v>2.5</v>
      </c>
      <c r="D735" s="4">
        <v>8</v>
      </c>
      <c r="E735" s="5">
        <v>4.17</v>
      </c>
      <c r="F735" s="4">
        <v>2</v>
      </c>
      <c r="G735" s="5">
        <v>0.97</v>
      </c>
      <c r="H735" s="4">
        <v>0</v>
      </c>
    </row>
    <row r="736" spans="1:8" x14ac:dyDescent="0.2">
      <c r="A736" s="2" t="s">
        <v>88</v>
      </c>
      <c r="B736" s="4">
        <v>14</v>
      </c>
      <c r="C736" s="5">
        <v>3.5</v>
      </c>
      <c r="D736" s="4">
        <v>11</v>
      </c>
      <c r="E736" s="5">
        <v>5.73</v>
      </c>
      <c r="F736" s="4">
        <v>3</v>
      </c>
      <c r="G736" s="5">
        <v>1.46</v>
      </c>
      <c r="H736" s="4">
        <v>0</v>
      </c>
    </row>
    <row r="737" spans="1:8" x14ac:dyDescent="0.2">
      <c r="A737" s="2" t="s">
        <v>89</v>
      </c>
      <c r="B737" s="4">
        <v>17</v>
      </c>
      <c r="C737" s="5">
        <v>4.25</v>
      </c>
      <c r="D737" s="4">
        <v>3</v>
      </c>
      <c r="E737" s="5">
        <v>1.56</v>
      </c>
      <c r="F737" s="4">
        <v>13</v>
      </c>
      <c r="G737" s="5">
        <v>6.31</v>
      </c>
      <c r="H737" s="4">
        <v>0</v>
      </c>
    </row>
    <row r="738" spans="1:8" x14ac:dyDescent="0.2">
      <c r="A738" s="1" t="s">
        <v>46</v>
      </c>
      <c r="B738" s="4">
        <v>905</v>
      </c>
      <c r="C738" s="5">
        <v>99.990000000000009</v>
      </c>
      <c r="D738" s="4">
        <v>367</v>
      </c>
      <c r="E738" s="5">
        <v>99.990000000000009</v>
      </c>
      <c r="F738" s="4">
        <v>532</v>
      </c>
      <c r="G738" s="5">
        <v>100.00999999999999</v>
      </c>
      <c r="H738" s="4">
        <v>0</v>
      </c>
    </row>
    <row r="739" spans="1:8" x14ac:dyDescent="0.2">
      <c r="A739" s="2" t="s">
        <v>75</v>
      </c>
      <c r="B739" s="4">
        <v>0</v>
      </c>
      <c r="C739" s="5">
        <v>0</v>
      </c>
      <c r="D739" s="4">
        <v>0</v>
      </c>
      <c r="E739" s="5">
        <v>0</v>
      </c>
      <c r="F739" s="4">
        <v>0</v>
      </c>
      <c r="G739" s="5">
        <v>0</v>
      </c>
      <c r="H739" s="4">
        <v>0</v>
      </c>
    </row>
    <row r="740" spans="1:8" x14ac:dyDescent="0.2">
      <c r="A740" s="2" t="s">
        <v>76</v>
      </c>
      <c r="B740" s="4">
        <v>133</v>
      </c>
      <c r="C740" s="5">
        <v>14.7</v>
      </c>
      <c r="D740" s="4">
        <v>24</v>
      </c>
      <c r="E740" s="5">
        <v>6.54</v>
      </c>
      <c r="F740" s="4">
        <v>109</v>
      </c>
      <c r="G740" s="5">
        <v>20.49</v>
      </c>
      <c r="H740" s="4">
        <v>0</v>
      </c>
    </row>
    <row r="741" spans="1:8" x14ac:dyDescent="0.2">
      <c r="A741" s="2" t="s">
        <v>77</v>
      </c>
      <c r="B741" s="4">
        <v>86</v>
      </c>
      <c r="C741" s="5">
        <v>9.5</v>
      </c>
      <c r="D741" s="4">
        <v>22</v>
      </c>
      <c r="E741" s="5">
        <v>5.99</v>
      </c>
      <c r="F741" s="4">
        <v>64</v>
      </c>
      <c r="G741" s="5">
        <v>12.03</v>
      </c>
      <c r="H741" s="4">
        <v>0</v>
      </c>
    </row>
    <row r="742" spans="1:8" x14ac:dyDescent="0.2">
      <c r="A742" s="2" t="s">
        <v>78</v>
      </c>
      <c r="B742" s="4">
        <v>0</v>
      </c>
      <c r="C742" s="5">
        <v>0</v>
      </c>
      <c r="D742" s="4">
        <v>0</v>
      </c>
      <c r="E742" s="5">
        <v>0</v>
      </c>
      <c r="F742" s="4">
        <v>0</v>
      </c>
      <c r="G742" s="5">
        <v>0</v>
      </c>
      <c r="H742" s="4">
        <v>0</v>
      </c>
    </row>
    <row r="743" spans="1:8" x14ac:dyDescent="0.2">
      <c r="A743" s="2" t="s">
        <v>79</v>
      </c>
      <c r="B743" s="4">
        <v>7</v>
      </c>
      <c r="C743" s="5">
        <v>0.77</v>
      </c>
      <c r="D743" s="4">
        <v>1</v>
      </c>
      <c r="E743" s="5">
        <v>0.27</v>
      </c>
      <c r="F743" s="4">
        <v>6</v>
      </c>
      <c r="G743" s="5">
        <v>1.1299999999999999</v>
      </c>
      <c r="H743" s="4">
        <v>0</v>
      </c>
    </row>
    <row r="744" spans="1:8" x14ac:dyDescent="0.2">
      <c r="A744" s="2" t="s">
        <v>80</v>
      </c>
      <c r="B744" s="4">
        <v>29</v>
      </c>
      <c r="C744" s="5">
        <v>3.2</v>
      </c>
      <c r="D744" s="4">
        <v>5</v>
      </c>
      <c r="E744" s="5">
        <v>1.36</v>
      </c>
      <c r="F744" s="4">
        <v>24</v>
      </c>
      <c r="G744" s="5">
        <v>4.51</v>
      </c>
      <c r="H744" s="4">
        <v>0</v>
      </c>
    </row>
    <row r="745" spans="1:8" x14ac:dyDescent="0.2">
      <c r="A745" s="2" t="s">
        <v>81</v>
      </c>
      <c r="B745" s="4">
        <v>227</v>
      </c>
      <c r="C745" s="5">
        <v>25.08</v>
      </c>
      <c r="D745" s="4">
        <v>100</v>
      </c>
      <c r="E745" s="5">
        <v>27.25</v>
      </c>
      <c r="F745" s="4">
        <v>127</v>
      </c>
      <c r="G745" s="5">
        <v>23.87</v>
      </c>
      <c r="H745" s="4">
        <v>0</v>
      </c>
    </row>
    <row r="746" spans="1:8" x14ac:dyDescent="0.2">
      <c r="A746" s="2" t="s">
        <v>82</v>
      </c>
      <c r="B746" s="4">
        <v>7</v>
      </c>
      <c r="C746" s="5">
        <v>0.77</v>
      </c>
      <c r="D746" s="4">
        <v>0</v>
      </c>
      <c r="E746" s="5">
        <v>0</v>
      </c>
      <c r="F746" s="4">
        <v>7</v>
      </c>
      <c r="G746" s="5">
        <v>1.32</v>
      </c>
      <c r="H746" s="4">
        <v>0</v>
      </c>
    </row>
    <row r="747" spans="1:8" x14ac:dyDescent="0.2">
      <c r="A747" s="2" t="s">
        <v>83</v>
      </c>
      <c r="B747" s="4">
        <v>118</v>
      </c>
      <c r="C747" s="5">
        <v>13.04</v>
      </c>
      <c r="D747" s="4">
        <v>33</v>
      </c>
      <c r="E747" s="5">
        <v>8.99</v>
      </c>
      <c r="F747" s="4">
        <v>85</v>
      </c>
      <c r="G747" s="5">
        <v>15.98</v>
      </c>
      <c r="H747" s="4">
        <v>0</v>
      </c>
    </row>
    <row r="748" spans="1:8" x14ac:dyDescent="0.2">
      <c r="A748" s="2" t="s">
        <v>84</v>
      </c>
      <c r="B748" s="4">
        <v>28</v>
      </c>
      <c r="C748" s="5">
        <v>3.09</v>
      </c>
      <c r="D748" s="4">
        <v>11</v>
      </c>
      <c r="E748" s="5">
        <v>3</v>
      </c>
      <c r="F748" s="4">
        <v>17</v>
      </c>
      <c r="G748" s="5">
        <v>3.2</v>
      </c>
      <c r="H748" s="4">
        <v>0</v>
      </c>
    </row>
    <row r="749" spans="1:8" x14ac:dyDescent="0.2">
      <c r="A749" s="2" t="s">
        <v>85</v>
      </c>
      <c r="B749" s="4">
        <v>87</v>
      </c>
      <c r="C749" s="5">
        <v>9.61</v>
      </c>
      <c r="D749" s="4">
        <v>69</v>
      </c>
      <c r="E749" s="5">
        <v>18.8</v>
      </c>
      <c r="F749" s="4">
        <v>18</v>
      </c>
      <c r="G749" s="5">
        <v>3.38</v>
      </c>
      <c r="H749" s="4">
        <v>0</v>
      </c>
    </row>
    <row r="750" spans="1:8" x14ac:dyDescent="0.2">
      <c r="A750" s="2" t="s">
        <v>86</v>
      </c>
      <c r="B750" s="4">
        <v>93</v>
      </c>
      <c r="C750" s="5">
        <v>10.28</v>
      </c>
      <c r="D750" s="4">
        <v>61</v>
      </c>
      <c r="E750" s="5">
        <v>16.62</v>
      </c>
      <c r="F750" s="4">
        <v>28</v>
      </c>
      <c r="G750" s="5">
        <v>5.26</v>
      </c>
      <c r="H750" s="4">
        <v>0</v>
      </c>
    </row>
    <row r="751" spans="1:8" x14ac:dyDescent="0.2">
      <c r="A751" s="2" t="s">
        <v>87</v>
      </c>
      <c r="B751" s="4">
        <v>19</v>
      </c>
      <c r="C751" s="5">
        <v>2.1</v>
      </c>
      <c r="D751" s="4">
        <v>12</v>
      </c>
      <c r="E751" s="5">
        <v>3.27</v>
      </c>
      <c r="F751" s="4">
        <v>7</v>
      </c>
      <c r="G751" s="5">
        <v>1.32</v>
      </c>
      <c r="H751" s="4">
        <v>0</v>
      </c>
    </row>
    <row r="752" spans="1:8" x14ac:dyDescent="0.2">
      <c r="A752" s="2" t="s">
        <v>88</v>
      </c>
      <c r="B752" s="4">
        <v>33</v>
      </c>
      <c r="C752" s="5">
        <v>3.65</v>
      </c>
      <c r="D752" s="4">
        <v>15</v>
      </c>
      <c r="E752" s="5">
        <v>4.09</v>
      </c>
      <c r="F752" s="4">
        <v>17</v>
      </c>
      <c r="G752" s="5">
        <v>3.2</v>
      </c>
      <c r="H752" s="4">
        <v>0</v>
      </c>
    </row>
    <row r="753" spans="1:8" x14ac:dyDescent="0.2">
      <c r="A753" s="2" t="s">
        <v>89</v>
      </c>
      <c r="B753" s="4">
        <v>38</v>
      </c>
      <c r="C753" s="5">
        <v>4.2</v>
      </c>
      <c r="D753" s="4">
        <v>14</v>
      </c>
      <c r="E753" s="5">
        <v>3.81</v>
      </c>
      <c r="F753" s="4">
        <v>23</v>
      </c>
      <c r="G753" s="5">
        <v>4.32</v>
      </c>
      <c r="H753" s="4">
        <v>0</v>
      </c>
    </row>
    <row r="754" spans="1:8" x14ac:dyDescent="0.2">
      <c r="A754" s="1" t="s">
        <v>47</v>
      </c>
      <c r="B754" s="4">
        <v>581</v>
      </c>
      <c r="C754" s="5">
        <v>99.99</v>
      </c>
      <c r="D754" s="4">
        <v>260</v>
      </c>
      <c r="E754" s="5">
        <v>100.00000000000001</v>
      </c>
      <c r="F754" s="4">
        <v>318</v>
      </c>
      <c r="G754" s="5">
        <v>99.99</v>
      </c>
      <c r="H754" s="4">
        <v>0</v>
      </c>
    </row>
    <row r="755" spans="1:8" x14ac:dyDescent="0.2">
      <c r="A755" s="2" t="s">
        <v>75</v>
      </c>
      <c r="B755" s="4">
        <v>0</v>
      </c>
      <c r="C755" s="5">
        <v>0</v>
      </c>
      <c r="D755" s="4">
        <v>0</v>
      </c>
      <c r="E755" s="5">
        <v>0</v>
      </c>
      <c r="F755" s="4">
        <v>0</v>
      </c>
      <c r="G755" s="5">
        <v>0</v>
      </c>
      <c r="H755" s="4">
        <v>0</v>
      </c>
    </row>
    <row r="756" spans="1:8" x14ac:dyDescent="0.2">
      <c r="A756" s="2" t="s">
        <v>76</v>
      </c>
      <c r="B756" s="4">
        <v>129</v>
      </c>
      <c r="C756" s="5">
        <v>22.2</v>
      </c>
      <c r="D756" s="4">
        <v>45</v>
      </c>
      <c r="E756" s="5">
        <v>17.309999999999999</v>
      </c>
      <c r="F756" s="4">
        <v>84</v>
      </c>
      <c r="G756" s="5">
        <v>26.42</v>
      </c>
      <c r="H756" s="4">
        <v>0</v>
      </c>
    </row>
    <row r="757" spans="1:8" x14ac:dyDescent="0.2">
      <c r="A757" s="2" t="s">
        <v>77</v>
      </c>
      <c r="B757" s="4">
        <v>130</v>
      </c>
      <c r="C757" s="5">
        <v>22.38</v>
      </c>
      <c r="D757" s="4">
        <v>44</v>
      </c>
      <c r="E757" s="5">
        <v>16.920000000000002</v>
      </c>
      <c r="F757" s="4">
        <v>86</v>
      </c>
      <c r="G757" s="5">
        <v>27.04</v>
      </c>
      <c r="H757" s="4">
        <v>0</v>
      </c>
    </row>
    <row r="758" spans="1:8" x14ac:dyDescent="0.2">
      <c r="A758" s="2" t="s">
        <v>78</v>
      </c>
      <c r="B758" s="4">
        <v>0</v>
      </c>
      <c r="C758" s="5">
        <v>0</v>
      </c>
      <c r="D758" s="4">
        <v>0</v>
      </c>
      <c r="E758" s="5">
        <v>0</v>
      </c>
      <c r="F758" s="4">
        <v>0</v>
      </c>
      <c r="G758" s="5">
        <v>0</v>
      </c>
      <c r="H758" s="4">
        <v>0</v>
      </c>
    </row>
    <row r="759" spans="1:8" x14ac:dyDescent="0.2">
      <c r="A759" s="2" t="s">
        <v>79</v>
      </c>
      <c r="B759" s="4">
        <v>3</v>
      </c>
      <c r="C759" s="5">
        <v>0.52</v>
      </c>
      <c r="D759" s="4">
        <v>0</v>
      </c>
      <c r="E759" s="5">
        <v>0</v>
      </c>
      <c r="F759" s="4">
        <v>3</v>
      </c>
      <c r="G759" s="5">
        <v>0.94</v>
      </c>
      <c r="H759" s="4">
        <v>0</v>
      </c>
    </row>
    <row r="760" spans="1:8" x14ac:dyDescent="0.2">
      <c r="A760" s="2" t="s">
        <v>80</v>
      </c>
      <c r="B760" s="4">
        <v>25</v>
      </c>
      <c r="C760" s="5">
        <v>4.3</v>
      </c>
      <c r="D760" s="4">
        <v>11</v>
      </c>
      <c r="E760" s="5">
        <v>4.2300000000000004</v>
      </c>
      <c r="F760" s="4">
        <v>14</v>
      </c>
      <c r="G760" s="5">
        <v>4.4000000000000004</v>
      </c>
      <c r="H760" s="4">
        <v>0</v>
      </c>
    </row>
    <row r="761" spans="1:8" x14ac:dyDescent="0.2">
      <c r="A761" s="2" t="s">
        <v>81</v>
      </c>
      <c r="B761" s="4">
        <v>105</v>
      </c>
      <c r="C761" s="5">
        <v>18.07</v>
      </c>
      <c r="D761" s="4">
        <v>40</v>
      </c>
      <c r="E761" s="5">
        <v>15.38</v>
      </c>
      <c r="F761" s="4">
        <v>65</v>
      </c>
      <c r="G761" s="5">
        <v>20.440000000000001</v>
      </c>
      <c r="H761" s="4">
        <v>0</v>
      </c>
    </row>
    <row r="762" spans="1:8" x14ac:dyDescent="0.2">
      <c r="A762" s="2" t="s">
        <v>82</v>
      </c>
      <c r="B762" s="4">
        <v>1</v>
      </c>
      <c r="C762" s="5">
        <v>0.17</v>
      </c>
      <c r="D762" s="4">
        <v>0</v>
      </c>
      <c r="E762" s="5">
        <v>0</v>
      </c>
      <c r="F762" s="4">
        <v>1</v>
      </c>
      <c r="G762" s="5">
        <v>0.31</v>
      </c>
      <c r="H762" s="4">
        <v>0</v>
      </c>
    </row>
    <row r="763" spans="1:8" x14ac:dyDescent="0.2">
      <c r="A763" s="2" t="s">
        <v>83</v>
      </c>
      <c r="B763" s="4">
        <v>32</v>
      </c>
      <c r="C763" s="5">
        <v>5.51</v>
      </c>
      <c r="D763" s="4">
        <v>10</v>
      </c>
      <c r="E763" s="5">
        <v>3.85</v>
      </c>
      <c r="F763" s="4">
        <v>22</v>
      </c>
      <c r="G763" s="5">
        <v>6.92</v>
      </c>
      <c r="H763" s="4">
        <v>0</v>
      </c>
    </row>
    <row r="764" spans="1:8" x14ac:dyDescent="0.2">
      <c r="A764" s="2" t="s">
        <v>84</v>
      </c>
      <c r="B764" s="4">
        <v>14</v>
      </c>
      <c r="C764" s="5">
        <v>2.41</v>
      </c>
      <c r="D764" s="4">
        <v>8</v>
      </c>
      <c r="E764" s="5">
        <v>3.08</v>
      </c>
      <c r="F764" s="4">
        <v>6</v>
      </c>
      <c r="G764" s="5">
        <v>1.89</v>
      </c>
      <c r="H764" s="4">
        <v>0</v>
      </c>
    </row>
    <row r="765" spans="1:8" x14ac:dyDescent="0.2">
      <c r="A765" s="2" t="s">
        <v>85</v>
      </c>
      <c r="B765" s="4">
        <v>34</v>
      </c>
      <c r="C765" s="5">
        <v>5.85</v>
      </c>
      <c r="D765" s="4">
        <v>27</v>
      </c>
      <c r="E765" s="5">
        <v>10.38</v>
      </c>
      <c r="F765" s="4">
        <v>7</v>
      </c>
      <c r="G765" s="5">
        <v>2.2000000000000002</v>
      </c>
      <c r="H765" s="4">
        <v>0</v>
      </c>
    </row>
    <row r="766" spans="1:8" x14ac:dyDescent="0.2">
      <c r="A766" s="2" t="s">
        <v>86</v>
      </c>
      <c r="B766" s="4">
        <v>36</v>
      </c>
      <c r="C766" s="5">
        <v>6.2</v>
      </c>
      <c r="D766" s="4">
        <v>30</v>
      </c>
      <c r="E766" s="5">
        <v>11.54</v>
      </c>
      <c r="F766" s="4">
        <v>6</v>
      </c>
      <c r="G766" s="5">
        <v>1.89</v>
      </c>
      <c r="H766" s="4">
        <v>0</v>
      </c>
    </row>
    <row r="767" spans="1:8" x14ac:dyDescent="0.2">
      <c r="A767" s="2" t="s">
        <v>87</v>
      </c>
      <c r="B767" s="4">
        <v>16</v>
      </c>
      <c r="C767" s="5">
        <v>2.75</v>
      </c>
      <c r="D767" s="4">
        <v>12</v>
      </c>
      <c r="E767" s="5">
        <v>4.62</v>
      </c>
      <c r="F767" s="4">
        <v>1</v>
      </c>
      <c r="G767" s="5">
        <v>0.31</v>
      </c>
      <c r="H767" s="4">
        <v>0</v>
      </c>
    </row>
    <row r="768" spans="1:8" x14ac:dyDescent="0.2">
      <c r="A768" s="2" t="s">
        <v>88</v>
      </c>
      <c r="B768" s="4">
        <v>21</v>
      </c>
      <c r="C768" s="5">
        <v>3.61</v>
      </c>
      <c r="D768" s="4">
        <v>16</v>
      </c>
      <c r="E768" s="5">
        <v>6.15</v>
      </c>
      <c r="F768" s="4">
        <v>5</v>
      </c>
      <c r="G768" s="5">
        <v>1.57</v>
      </c>
      <c r="H768" s="4">
        <v>0</v>
      </c>
    </row>
    <row r="769" spans="1:8" x14ac:dyDescent="0.2">
      <c r="A769" s="2" t="s">
        <v>89</v>
      </c>
      <c r="B769" s="4">
        <v>35</v>
      </c>
      <c r="C769" s="5">
        <v>6.02</v>
      </c>
      <c r="D769" s="4">
        <v>17</v>
      </c>
      <c r="E769" s="5">
        <v>6.54</v>
      </c>
      <c r="F769" s="4">
        <v>18</v>
      </c>
      <c r="G769" s="5">
        <v>5.66</v>
      </c>
      <c r="H769" s="4">
        <v>0</v>
      </c>
    </row>
    <row r="770" spans="1:8" x14ac:dyDescent="0.2">
      <c r="A770" s="1" t="s">
        <v>48</v>
      </c>
      <c r="B770" s="4">
        <v>493</v>
      </c>
      <c r="C770" s="5">
        <v>100.01</v>
      </c>
      <c r="D770" s="4">
        <v>163</v>
      </c>
      <c r="E770" s="5">
        <v>99.98</v>
      </c>
      <c r="F770" s="4">
        <v>329</v>
      </c>
      <c r="G770" s="5">
        <v>100.01</v>
      </c>
      <c r="H770" s="4">
        <v>0</v>
      </c>
    </row>
    <row r="771" spans="1:8" x14ac:dyDescent="0.2">
      <c r="A771" s="2" t="s">
        <v>75</v>
      </c>
      <c r="B771" s="4">
        <v>0</v>
      </c>
      <c r="C771" s="5">
        <v>0</v>
      </c>
      <c r="D771" s="4">
        <v>0</v>
      </c>
      <c r="E771" s="5">
        <v>0</v>
      </c>
      <c r="F771" s="4">
        <v>0</v>
      </c>
      <c r="G771" s="5">
        <v>0</v>
      </c>
      <c r="H771" s="4">
        <v>0</v>
      </c>
    </row>
    <row r="772" spans="1:8" x14ac:dyDescent="0.2">
      <c r="A772" s="2" t="s">
        <v>76</v>
      </c>
      <c r="B772" s="4">
        <v>80</v>
      </c>
      <c r="C772" s="5">
        <v>16.23</v>
      </c>
      <c r="D772" s="4">
        <v>12</v>
      </c>
      <c r="E772" s="5">
        <v>7.36</v>
      </c>
      <c r="F772" s="4">
        <v>68</v>
      </c>
      <c r="G772" s="5">
        <v>20.67</v>
      </c>
      <c r="H772" s="4">
        <v>0</v>
      </c>
    </row>
    <row r="773" spans="1:8" x14ac:dyDescent="0.2">
      <c r="A773" s="2" t="s">
        <v>77</v>
      </c>
      <c r="B773" s="4">
        <v>51</v>
      </c>
      <c r="C773" s="5">
        <v>10.34</v>
      </c>
      <c r="D773" s="4">
        <v>15</v>
      </c>
      <c r="E773" s="5">
        <v>9.1999999999999993</v>
      </c>
      <c r="F773" s="4">
        <v>36</v>
      </c>
      <c r="G773" s="5">
        <v>10.94</v>
      </c>
      <c r="H773" s="4">
        <v>0</v>
      </c>
    </row>
    <row r="774" spans="1:8" x14ac:dyDescent="0.2">
      <c r="A774" s="2" t="s">
        <v>78</v>
      </c>
      <c r="B774" s="4">
        <v>0</v>
      </c>
      <c r="C774" s="5">
        <v>0</v>
      </c>
      <c r="D774" s="4">
        <v>0</v>
      </c>
      <c r="E774" s="5">
        <v>0</v>
      </c>
      <c r="F774" s="4">
        <v>0</v>
      </c>
      <c r="G774" s="5">
        <v>0</v>
      </c>
      <c r="H774" s="4">
        <v>0</v>
      </c>
    </row>
    <row r="775" spans="1:8" x14ac:dyDescent="0.2">
      <c r="A775" s="2" t="s">
        <v>79</v>
      </c>
      <c r="B775" s="4">
        <v>3</v>
      </c>
      <c r="C775" s="5">
        <v>0.61</v>
      </c>
      <c r="D775" s="4">
        <v>0</v>
      </c>
      <c r="E775" s="5">
        <v>0</v>
      </c>
      <c r="F775" s="4">
        <v>3</v>
      </c>
      <c r="G775" s="5">
        <v>0.91</v>
      </c>
      <c r="H775" s="4">
        <v>0</v>
      </c>
    </row>
    <row r="776" spans="1:8" x14ac:dyDescent="0.2">
      <c r="A776" s="2" t="s">
        <v>80</v>
      </c>
      <c r="B776" s="4">
        <v>15</v>
      </c>
      <c r="C776" s="5">
        <v>3.04</v>
      </c>
      <c r="D776" s="4">
        <v>0</v>
      </c>
      <c r="E776" s="5">
        <v>0</v>
      </c>
      <c r="F776" s="4">
        <v>15</v>
      </c>
      <c r="G776" s="5">
        <v>4.5599999999999996</v>
      </c>
      <c r="H776" s="4">
        <v>0</v>
      </c>
    </row>
    <row r="777" spans="1:8" x14ac:dyDescent="0.2">
      <c r="A777" s="2" t="s">
        <v>81</v>
      </c>
      <c r="B777" s="4">
        <v>130</v>
      </c>
      <c r="C777" s="5">
        <v>26.37</v>
      </c>
      <c r="D777" s="4">
        <v>50</v>
      </c>
      <c r="E777" s="5">
        <v>30.67</v>
      </c>
      <c r="F777" s="4">
        <v>80</v>
      </c>
      <c r="G777" s="5">
        <v>24.32</v>
      </c>
      <c r="H777" s="4">
        <v>0</v>
      </c>
    </row>
    <row r="778" spans="1:8" x14ac:dyDescent="0.2">
      <c r="A778" s="2" t="s">
        <v>82</v>
      </c>
      <c r="B778" s="4">
        <v>3</v>
      </c>
      <c r="C778" s="5">
        <v>0.61</v>
      </c>
      <c r="D778" s="4">
        <v>1</v>
      </c>
      <c r="E778" s="5">
        <v>0.61</v>
      </c>
      <c r="F778" s="4">
        <v>2</v>
      </c>
      <c r="G778" s="5">
        <v>0.61</v>
      </c>
      <c r="H778" s="4">
        <v>0</v>
      </c>
    </row>
    <row r="779" spans="1:8" x14ac:dyDescent="0.2">
      <c r="A779" s="2" t="s">
        <v>83</v>
      </c>
      <c r="B779" s="4">
        <v>56</v>
      </c>
      <c r="C779" s="5">
        <v>11.36</v>
      </c>
      <c r="D779" s="4">
        <v>3</v>
      </c>
      <c r="E779" s="5">
        <v>1.84</v>
      </c>
      <c r="F779" s="4">
        <v>53</v>
      </c>
      <c r="G779" s="5">
        <v>16.11</v>
      </c>
      <c r="H779" s="4">
        <v>0</v>
      </c>
    </row>
    <row r="780" spans="1:8" x14ac:dyDescent="0.2">
      <c r="A780" s="2" t="s">
        <v>84</v>
      </c>
      <c r="B780" s="4">
        <v>20</v>
      </c>
      <c r="C780" s="5">
        <v>4.0599999999999996</v>
      </c>
      <c r="D780" s="4">
        <v>6</v>
      </c>
      <c r="E780" s="5">
        <v>3.68</v>
      </c>
      <c r="F780" s="4">
        <v>14</v>
      </c>
      <c r="G780" s="5">
        <v>4.26</v>
      </c>
      <c r="H780" s="4">
        <v>0</v>
      </c>
    </row>
    <row r="781" spans="1:8" x14ac:dyDescent="0.2">
      <c r="A781" s="2" t="s">
        <v>85</v>
      </c>
      <c r="B781" s="4">
        <v>29</v>
      </c>
      <c r="C781" s="5">
        <v>5.88</v>
      </c>
      <c r="D781" s="4">
        <v>18</v>
      </c>
      <c r="E781" s="5">
        <v>11.04</v>
      </c>
      <c r="F781" s="4">
        <v>11</v>
      </c>
      <c r="G781" s="5">
        <v>3.34</v>
      </c>
      <c r="H781" s="4">
        <v>0</v>
      </c>
    </row>
    <row r="782" spans="1:8" x14ac:dyDescent="0.2">
      <c r="A782" s="2" t="s">
        <v>86</v>
      </c>
      <c r="B782" s="4">
        <v>48</v>
      </c>
      <c r="C782" s="5">
        <v>9.74</v>
      </c>
      <c r="D782" s="4">
        <v>27</v>
      </c>
      <c r="E782" s="5">
        <v>16.559999999999999</v>
      </c>
      <c r="F782" s="4">
        <v>20</v>
      </c>
      <c r="G782" s="5">
        <v>6.08</v>
      </c>
      <c r="H782" s="4">
        <v>0</v>
      </c>
    </row>
    <row r="783" spans="1:8" x14ac:dyDescent="0.2">
      <c r="A783" s="2" t="s">
        <v>87</v>
      </c>
      <c r="B783" s="4">
        <v>14</v>
      </c>
      <c r="C783" s="5">
        <v>2.84</v>
      </c>
      <c r="D783" s="4">
        <v>11</v>
      </c>
      <c r="E783" s="5">
        <v>6.75</v>
      </c>
      <c r="F783" s="4">
        <v>3</v>
      </c>
      <c r="G783" s="5">
        <v>0.91</v>
      </c>
      <c r="H783" s="4">
        <v>0</v>
      </c>
    </row>
    <row r="784" spans="1:8" x14ac:dyDescent="0.2">
      <c r="A784" s="2" t="s">
        <v>88</v>
      </c>
      <c r="B784" s="4">
        <v>20</v>
      </c>
      <c r="C784" s="5">
        <v>4.0599999999999996</v>
      </c>
      <c r="D784" s="4">
        <v>11</v>
      </c>
      <c r="E784" s="5">
        <v>6.75</v>
      </c>
      <c r="F784" s="4">
        <v>9</v>
      </c>
      <c r="G784" s="5">
        <v>2.74</v>
      </c>
      <c r="H784" s="4">
        <v>0</v>
      </c>
    </row>
    <row r="785" spans="1:8" x14ac:dyDescent="0.2">
      <c r="A785" s="2" t="s">
        <v>89</v>
      </c>
      <c r="B785" s="4">
        <v>24</v>
      </c>
      <c r="C785" s="5">
        <v>4.87</v>
      </c>
      <c r="D785" s="4">
        <v>9</v>
      </c>
      <c r="E785" s="5">
        <v>5.52</v>
      </c>
      <c r="F785" s="4">
        <v>15</v>
      </c>
      <c r="G785" s="5">
        <v>4.5599999999999996</v>
      </c>
      <c r="H785" s="4">
        <v>0</v>
      </c>
    </row>
    <row r="786" spans="1:8" x14ac:dyDescent="0.2">
      <c r="A786" s="1" t="s">
        <v>49</v>
      </c>
      <c r="B786" s="4">
        <v>203</v>
      </c>
      <c r="C786" s="5">
        <v>99.990000000000009</v>
      </c>
      <c r="D786" s="4">
        <v>75</v>
      </c>
      <c r="E786" s="5">
        <v>99.99</v>
      </c>
      <c r="F786" s="4">
        <v>126</v>
      </c>
      <c r="G786" s="5">
        <v>100.00000000000001</v>
      </c>
      <c r="H786" s="4">
        <v>0</v>
      </c>
    </row>
    <row r="787" spans="1:8" x14ac:dyDescent="0.2">
      <c r="A787" s="2" t="s">
        <v>75</v>
      </c>
      <c r="B787" s="4">
        <v>0</v>
      </c>
      <c r="C787" s="5">
        <v>0</v>
      </c>
      <c r="D787" s="4">
        <v>0</v>
      </c>
      <c r="E787" s="5">
        <v>0</v>
      </c>
      <c r="F787" s="4">
        <v>0</v>
      </c>
      <c r="G787" s="5">
        <v>0</v>
      </c>
      <c r="H787" s="4">
        <v>0</v>
      </c>
    </row>
    <row r="788" spans="1:8" x14ac:dyDescent="0.2">
      <c r="A788" s="2" t="s">
        <v>76</v>
      </c>
      <c r="B788" s="4">
        <v>38</v>
      </c>
      <c r="C788" s="5">
        <v>18.72</v>
      </c>
      <c r="D788" s="4">
        <v>11</v>
      </c>
      <c r="E788" s="5">
        <v>14.67</v>
      </c>
      <c r="F788" s="4">
        <v>27</v>
      </c>
      <c r="G788" s="5">
        <v>21.43</v>
      </c>
      <c r="H788" s="4">
        <v>0</v>
      </c>
    </row>
    <row r="789" spans="1:8" x14ac:dyDescent="0.2">
      <c r="A789" s="2" t="s">
        <v>77</v>
      </c>
      <c r="B789" s="4">
        <v>21</v>
      </c>
      <c r="C789" s="5">
        <v>10.34</v>
      </c>
      <c r="D789" s="4">
        <v>9</v>
      </c>
      <c r="E789" s="5">
        <v>12</v>
      </c>
      <c r="F789" s="4">
        <v>12</v>
      </c>
      <c r="G789" s="5">
        <v>9.52</v>
      </c>
      <c r="H789" s="4">
        <v>0</v>
      </c>
    </row>
    <row r="790" spans="1:8" x14ac:dyDescent="0.2">
      <c r="A790" s="2" t="s">
        <v>78</v>
      </c>
      <c r="B790" s="4">
        <v>0</v>
      </c>
      <c r="C790" s="5">
        <v>0</v>
      </c>
      <c r="D790" s="4">
        <v>0</v>
      </c>
      <c r="E790" s="5">
        <v>0</v>
      </c>
      <c r="F790" s="4">
        <v>0</v>
      </c>
      <c r="G790" s="5">
        <v>0</v>
      </c>
      <c r="H790" s="4">
        <v>0</v>
      </c>
    </row>
    <row r="791" spans="1:8" x14ac:dyDescent="0.2">
      <c r="A791" s="2" t="s">
        <v>79</v>
      </c>
      <c r="B791" s="4">
        <v>0</v>
      </c>
      <c r="C791" s="5">
        <v>0</v>
      </c>
      <c r="D791" s="4">
        <v>0</v>
      </c>
      <c r="E791" s="5">
        <v>0</v>
      </c>
      <c r="F791" s="4">
        <v>0</v>
      </c>
      <c r="G791" s="5">
        <v>0</v>
      </c>
      <c r="H791" s="4">
        <v>0</v>
      </c>
    </row>
    <row r="792" spans="1:8" x14ac:dyDescent="0.2">
      <c r="A792" s="2" t="s">
        <v>80</v>
      </c>
      <c r="B792" s="4">
        <v>8</v>
      </c>
      <c r="C792" s="5">
        <v>3.94</v>
      </c>
      <c r="D792" s="4">
        <v>1</v>
      </c>
      <c r="E792" s="5">
        <v>1.33</v>
      </c>
      <c r="F792" s="4">
        <v>7</v>
      </c>
      <c r="G792" s="5">
        <v>5.56</v>
      </c>
      <c r="H792" s="4">
        <v>0</v>
      </c>
    </row>
    <row r="793" spans="1:8" x14ac:dyDescent="0.2">
      <c r="A793" s="2" t="s">
        <v>81</v>
      </c>
      <c r="B793" s="4">
        <v>64</v>
      </c>
      <c r="C793" s="5">
        <v>31.53</v>
      </c>
      <c r="D793" s="4">
        <v>19</v>
      </c>
      <c r="E793" s="5">
        <v>25.33</v>
      </c>
      <c r="F793" s="4">
        <v>45</v>
      </c>
      <c r="G793" s="5">
        <v>35.71</v>
      </c>
      <c r="H793" s="4">
        <v>0</v>
      </c>
    </row>
    <row r="794" spans="1:8" x14ac:dyDescent="0.2">
      <c r="A794" s="2" t="s">
        <v>82</v>
      </c>
      <c r="B794" s="4">
        <v>1</v>
      </c>
      <c r="C794" s="5">
        <v>0.49</v>
      </c>
      <c r="D794" s="4">
        <v>0</v>
      </c>
      <c r="E794" s="5">
        <v>0</v>
      </c>
      <c r="F794" s="4">
        <v>1</v>
      </c>
      <c r="G794" s="5">
        <v>0.79</v>
      </c>
      <c r="H794" s="4">
        <v>0</v>
      </c>
    </row>
    <row r="795" spans="1:8" x14ac:dyDescent="0.2">
      <c r="A795" s="2" t="s">
        <v>83</v>
      </c>
      <c r="B795" s="4">
        <v>10</v>
      </c>
      <c r="C795" s="5">
        <v>4.93</v>
      </c>
      <c r="D795" s="4">
        <v>2</v>
      </c>
      <c r="E795" s="5">
        <v>2.67</v>
      </c>
      <c r="F795" s="4">
        <v>8</v>
      </c>
      <c r="G795" s="5">
        <v>6.35</v>
      </c>
      <c r="H795" s="4">
        <v>0</v>
      </c>
    </row>
    <row r="796" spans="1:8" x14ac:dyDescent="0.2">
      <c r="A796" s="2" t="s">
        <v>84</v>
      </c>
      <c r="B796" s="4">
        <v>3</v>
      </c>
      <c r="C796" s="5">
        <v>1.48</v>
      </c>
      <c r="D796" s="4">
        <v>1</v>
      </c>
      <c r="E796" s="5">
        <v>1.33</v>
      </c>
      <c r="F796" s="4">
        <v>2</v>
      </c>
      <c r="G796" s="5">
        <v>1.59</v>
      </c>
      <c r="H796" s="4">
        <v>0</v>
      </c>
    </row>
    <row r="797" spans="1:8" x14ac:dyDescent="0.2">
      <c r="A797" s="2" t="s">
        <v>85</v>
      </c>
      <c r="B797" s="4">
        <v>22</v>
      </c>
      <c r="C797" s="5">
        <v>10.84</v>
      </c>
      <c r="D797" s="4">
        <v>12</v>
      </c>
      <c r="E797" s="5">
        <v>16</v>
      </c>
      <c r="F797" s="4">
        <v>10</v>
      </c>
      <c r="G797" s="5">
        <v>7.94</v>
      </c>
      <c r="H797" s="4">
        <v>0</v>
      </c>
    </row>
    <row r="798" spans="1:8" x14ac:dyDescent="0.2">
      <c r="A798" s="2" t="s">
        <v>86</v>
      </c>
      <c r="B798" s="4">
        <v>13</v>
      </c>
      <c r="C798" s="5">
        <v>6.4</v>
      </c>
      <c r="D798" s="4">
        <v>6</v>
      </c>
      <c r="E798" s="5">
        <v>8</v>
      </c>
      <c r="F798" s="4">
        <v>7</v>
      </c>
      <c r="G798" s="5">
        <v>5.56</v>
      </c>
      <c r="H798" s="4">
        <v>0</v>
      </c>
    </row>
    <row r="799" spans="1:8" x14ac:dyDescent="0.2">
      <c r="A799" s="2" t="s">
        <v>87</v>
      </c>
      <c r="B799" s="4">
        <v>1</v>
      </c>
      <c r="C799" s="5">
        <v>0.49</v>
      </c>
      <c r="D799" s="4">
        <v>1</v>
      </c>
      <c r="E799" s="5">
        <v>1.33</v>
      </c>
      <c r="F799" s="4">
        <v>0</v>
      </c>
      <c r="G799" s="5">
        <v>0</v>
      </c>
      <c r="H799" s="4">
        <v>0</v>
      </c>
    </row>
    <row r="800" spans="1:8" x14ac:dyDescent="0.2">
      <c r="A800" s="2" t="s">
        <v>88</v>
      </c>
      <c r="B800" s="4">
        <v>9</v>
      </c>
      <c r="C800" s="5">
        <v>4.43</v>
      </c>
      <c r="D800" s="4">
        <v>6</v>
      </c>
      <c r="E800" s="5">
        <v>8</v>
      </c>
      <c r="F800" s="4">
        <v>1</v>
      </c>
      <c r="G800" s="5">
        <v>0.79</v>
      </c>
      <c r="H800" s="4">
        <v>0</v>
      </c>
    </row>
    <row r="801" spans="1:8" x14ac:dyDescent="0.2">
      <c r="A801" s="2" t="s">
        <v>89</v>
      </c>
      <c r="B801" s="4">
        <v>13</v>
      </c>
      <c r="C801" s="5">
        <v>6.4</v>
      </c>
      <c r="D801" s="4">
        <v>7</v>
      </c>
      <c r="E801" s="5">
        <v>9.33</v>
      </c>
      <c r="F801" s="4">
        <v>6</v>
      </c>
      <c r="G801" s="5">
        <v>4.76</v>
      </c>
      <c r="H801" s="4">
        <v>0</v>
      </c>
    </row>
    <row r="802" spans="1:8" x14ac:dyDescent="0.2">
      <c r="A802" s="1" t="s">
        <v>50</v>
      </c>
      <c r="B802" s="4">
        <v>867</v>
      </c>
      <c r="C802" s="5">
        <v>100.00999999999999</v>
      </c>
      <c r="D802" s="4">
        <v>289</v>
      </c>
      <c r="E802" s="5">
        <v>100</v>
      </c>
      <c r="F802" s="4">
        <v>574</v>
      </c>
      <c r="G802" s="5">
        <v>100.01</v>
      </c>
      <c r="H802" s="4">
        <v>0</v>
      </c>
    </row>
    <row r="803" spans="1:8" x14ac:dyDescent="0.2">
      <c r="A803" s="2" t="s">
        <v>75</v>
      </c>
      <c r="B803" s="4">
        <v>0</v>
      </c>
      <c r="C803" s="5">
        <v>0</v>
      </c>
      <c r="D803" s="4">
        <v>0</v>
      </c>
      <c r="E803" s="5">
        <v>0</v>
      </c>
      <c r="F803" s="4">
        <v>0</v>
      </c>
      <c r="G803" s="5">
        <v>0</v>
      </c>
      <c r="H803" s="4">
        <v>0</v>
      </c>
    </row>
    <row r="804" spans="1:8" x14ac:dyDescent="0.2">
      <c r="A804" s="2" t="s">
        <v>76</v>
      </c>
      <c r="B804" s="4">
        <v>133</v>
      </c>
      <c r="C804" s="5">
        <v>15.34</v>
      </c>
      <c r="D804" s="4">
        <v>19</v>
      </c>
      <c r="E804" s="5">
        <v>6.57</v>
      </c>
      <c r="F804" s="4">
        <v>114</v>
      </c>
      <c r="G804" s="5">
        <v>19.86</v>
      </c>
      <c r="H804" s="4">
        <v>0</v>
      </c>
    </row>
    <row r="805" spans="1:8" x14ac:dyDescent="0.2">
      <c r="A805" s="2" t="s">
        <v>77</v>
      </c>
      <c r="B805" s="4">
        <v>73</v>
      </c>
      <c r="C805" s="5">
        <v>8.42</v>
      </c>
      <c r="D805" s="4">
        <v>22</v>
      </c>
      <c r="E805" s="5">
        <v>7.61</v>
      </c>
      <c r="F805" s="4">
        <v>51</v>
      </c>
      <c r="G805" s="5">
        <v>8.89</v>
      </c>
      <c r="H805" s="4">
        <v>0</v>
      </c>
    </row>
    <row r="806" spans="1:8" x14ac:dyDescent="0.2">
      <c r="A806" s="2" t="s">
        <v>78</v>
      </c>
      <c r="B806" s="4">
        <v>2</v>
      </c>
      <c r="C806" s="5">
        <v>0.23</v>
      </c>
      <c r="D806" s="4">
        <v>0</v>
      </c>
      <c r="E806" s="5">
        <v>0</v>
      </c>
      <c r="F806" s="4">
        <v>2</v>
      </c>
      <c r="G806" s="5">
        <v>0.35</v>
      </c>
      <c r="H806" s="4">
        <v>0</v>
      </c>
    </row>
    <row r="807" spans="1:8" x14ac:dyDescent="0.2">
      <c r="A807" s="2" t="s">
        <v>79</v>
      </c>
      <c r="B807" s="4">
        <v>7</v>
      </c>
      <c r="C807" s="5">
        <v>0.81</v>
      </c>
      <c r="D807" s="4">
        <v>1</v>
      </c>
      <c r="E807" s="5">
        <v>0.35</v>
      </c>
      <c r="F807" s="4">
        <v>6</v>
      </c>
      <c r="G807" s="5">
        <v>1.05</v>
      </c>
      <c r="H807" s="4">
        <v>0</v>
      </c>
    </row>
    <row r="808" spans="1:8" x14ac:dyDescent="0.2">
      <c r="A808" s="2" t="s">
        <v>80</v>
      </c>
      <c r="B808" s="4">
        <v>29</v>
      </c>
      <c r="C808" s="5">
        <v>3.34</v>
      </c>
      <c r="D808" s="4">
        <v>1</v>
      </c>
      <c r="E808" s="5">
        <v>0.35</v>
      </c>
      <c r="F808" s="4">
        <v>28</v>
      </c>
      <c r="G808" s="5">
        <v>4.88</v>
      </c>
      <c r="H808" s="4">
        <v>0</v>
      </c>
    </row>
    <row r="809" spans="1:8" x14ac:dyDescent="0.2">
      <c r="A809" s="2" t="s">
        <v>81</v>
      </c>
      <c r="B809" s="4">
        <v>267</v>
      </c>
      <c r="C809" s="5">
        <v>30.8</v>
      </c>
      <c r="D809" s="4">
        <v>65</v>
      </c>
      <c r="E809" s="5">
        <v>22.49</v>
      </c>
      <c r="F809" s="4">
        <v>202</v>
      </c>
      <c r="G809" s="5">
        <v>35.19</v>
      </c>
      <c r="H809" s="4">
        <v>0</v>
      </c>
    </row>
    <row r="810" spans="1:8" x14ac:dyDescent="0.2">
      <c r="A810" s="2" t="s">
        <v>82</v>
      </c>
      <c r="B810" s="4">
        <v>7</v>
      </c>
      <c r="C810" s="5">
        <v>0.81</v>
      </c>
      <c r="D810" s="4">
        <v>2</v>
      </c>
      <c r="E810" s="5">
        <v>0.69</v>
      </c>
      <c r="F810" s="4">
        <v>5</v>
      </c>
      <c r="G810" s="5">
        <v>0.87</v>
      </c>
      <c r="H810" s="4">
        <v>0</v>
      </c>
    </row>
    <row r="811" spans="1:8" x14ac:dyDescent="0.2">
      <c r="A811" s="2" t="s">
        <v>83</v>
      </c>
      <c r="B811" s="4">
        <v>74</v>
      </c>
      <c r="C811" s="5">
        <v>8.5399999999999991</v>
      </c>
      <c r="D811" s="4">
        <v>6</v>
      </c>
      <c r="E811" s="5">
        <v>2.08</v>
      </c>
      <c r="F811" s="4">
        <v>68</v>
      </c>
      <c r="G811" s="5">
        <v>11.85</v>
      </c>
      <c r="H811" s="4">
        <v>0</v>
      </c>
    </row>
    <row r="812" spans="1:8" x14ac:dyDescent="0.2">
      <c r="A812" s="2" t="s">
        <v>84</v>
      </c>
      <c r="B812" s="4">
        <v>43</v>
      </c>
      <c r="C812" s="5">
        <v>4.96</v>
      </c>
      <c r="D812" s="4">
        <v>24</v>
      </c>
      <c r="E812" s="5">
        <v>8.3000000000000007</v>
      </c>
      <c r="F812" s="4">
        <v>19</v>
      </c>
      <c r="G812" s="5">
        <v>3.31</v>
      </c>
      <c r="H812" s="4">
        <v>0</v>
      </c>
    </row>
    <row r="813" spans="1:8" x14ac:dyDescent="0.2">
      <c r="A813" s="2" t="s">
        <v>85</v>
      </c>
      <c r="B813" s="4">
        <v>52</v>
      </c>
      <c r="C813" s="5">
        <v>6</v>
      </c>
      <c r="D813" s="4">
        <v>44</v>
      </c>
      <c r="E813" s="5">
        <v>15.22</v>
      </c>
      <c r="F813" s="4">
        <v>8</v>
      </c>
      <c r="G813" s="5">
        <v>1.39</v>
      </c>
      <c r="H813" s="4">
        <v>0</v>
      </c>
    </row>
    <row r="814" spans="1:8" x14ac:dyDescent="0.2">
      <c r="A814" s="2" t="s">
        <v>86</v>
      </c>
      <c r="B814" s="4">
        <v>81</v>
      </c>
      <c r="C814" s="5">
        <v>9.34</v>
      </c>
      <c r="D814" s="4">
        <v>59</v>
      </c>
      <c r="E814" s="5">
        <v>20.420000000000002</v>
      </c>
      <c r="F814" s="4">
        <v>21</v>
      </c>
      <c r="G814" s="5">
        <v>3.66</v>
      </c>
      <c r="H814" s="4">
        <v>0</v>
      </c>
    </row>
    <row r="815" spans="1:8" x14ac:dyDescent="0.2">
      <c r="A815" s="2" t="s">
        <v>87</v>
      </c>
      <c r="B815" s="4">
        <v>22</v>
      </c>
      <c r="C815" s="5">
        <v>2.54</v>
      </c>
      <c r="D815" s="4">
        <v>15</v>
      </c>
      <c r="E815" s="5">
        <v>5.19</v>
      </c>
      <c r="F815" s="4">
        <v>6</v>
      </c>
      <c r="G815" s="5">
        <v>1.05</v>
      </c>
      <c r="H815" s="4">
        <v>0</v>
      </c>
    </row>
    <row r="816" spans="1:8" x14ac:dyDescent="0.2">
      <c r="A816" s="2" t="s">
        <v>88</v>
      </c>
      <c r="B816" s="4">
        <v>33</v>
      </c>
      <c r="C816" s="5">
        <v>3.81</v>
      </c>
      <c r="D816" s="4">
        <v>20</v>
      </c>
      <c r="E816" s="5">
        <v>6.92</v>
      </c>
      <c r="F816" s="4">
        <v>13</v>
      </c>
      <c r="G816" s="5">
        <v>2.2599999999999998</v>
      </c>
      <c r="H816" s="4">
        <v>0</v>
      </c>
    </row>
    <row r="817" spans="1:8" x14ac:dyDescent="0.2">
      <c r="A817" s="2" t="s">
        <v>89</v>
      </c>
      <c r="B817" s="4">
        <v>44</v>
      </c>
      <c r="C817" s="5">
        <v>5.07</v>
      </c>
      <c r="D817" s="4">
        <v>11</v>
      </c>
      <c r="E817" s="5">
        <v>3.81</v>
      </c>
      <c r="F817" s="4">
        <v>31</v>
      </c>
      <c r="G817" s="5">
        <v>5.4</v>
      </c>
      <c r="H817" s="4">
        <v>0</v>
      </c>
    </row>
    <row r="818" spans="1:8" x14ac:dyDescent="0.2">
      <c r="A818" s="1" t="s">
        <v>51</v>
      </c>
      <c r="B818" s="4">
        <v>326</v>
      </c>
      <c r="C818" s="5">
        <v>100.00999999999998</v>
      </c>
      <c r="D818" s="4">
        <v>205</v>
      </c>
      <c r="E818" s="5">
        <v>99.99</v>
      </c>
      <c r="F818" s="4">
        <v>112</v>
      </c>
      <c r="G818" s="5">
        <v>100.01</v>
      </c>
      <c r="H818" s="4">
        <v>2</v>
      </c>
    </row>
    <row r="819" spans="1:8" x14ac:dyDescent="0.2">
      <c r="A819" s="2" t="s">
        <v>75</v>
      </c>
      <c r="B819" s="4">
        <v>1</v>
      </c>
      <c r="C819" s="5">
        <v>0.31</v>
      </c>
      <c r="D819" s="4">
        <v>0</v>
      </c>
      <c r="E819" s="5">
        <v>0</v>
      </c>
      <c r="F819" s="4">
        <v>1</v>
      </c>
      <c r="G819" s="5">
        <v>0.89</v>
      </c>
      <c r="H819" s="4">
        <v>0</v>
      </c>
    </row>
    <row r="820" spans="1:8" x14ac:dyDescent="0.2">
      <c r="A820" s="2" t="s">
        <v>76</v>
      </c>
      <c r="B820" s="4">
        <v>65</v>
      </c>
      <c r="C820" s="5">
        <v>19.940000000000001</v>
      </c>
      <c r="D820" s="4">
        <v>21</v>
      </c>
      <c r="E820" s="5">
        <v>10.24</v>
      </c>
      <c r="F820" s="4">
        <v>44</v>
      </c>
      <c r="G820" s="5">
        <v>39.29</v>
      </c>
      <c r="H820" s="4">
        <v>0</v>
      </c>
    </row>
    <row r="821" spans="1:8" x14ac:dyDescent="0.2">
      <c r="A821" s="2" t="s">
        <v>77</v>
      </c>
      <c r="B821" s="4">
        <v>15</v>
      </c>
      <c r="C821" s="5">
        <v>4.5999999999999996</v>
      </c>
      <c r="D821" s="4">
        <v>8</v>
      </c>
      <c r="E821" s="5">
        <v>3.9</v>
      </c>
      <c r="F821" s="4">
        <v>7</v>
      </c>
      <c r="G821" s="5">
        <v>6.25</v>
      </c>
      <c r="H821" s="4">
        <v>0</v>
      </c>
    </row>
    <row r="822" spans="1:8" x14ac:dyDescent="0.2">
      <c r="A822" s="2" t="s">
        <v>78</v>
      </c>
      <c r="B822" s="4">
        <v>0</v>
      </c>
      <c r="C822" s="5">
        <v>0</v>
      </c>
      <c r="D822" s="4">
        <v>0</v>
      </c>
      <c r="E822" s="5">
        <v>0</v>
      </c>
      <c r="F822" s="4">
        <v>0</v>
      </c>
      <c r="G822" s="5">
        <v>0</v>
      </c>
      <c r="H822" s="4">
        <v>0</v>
      </c>
    </row>
    <row r="823" spans="1:8" x14ac:dyDescent="0.2">
      <c r="A823" s="2" t="s">
        <v>79</v>
      </c>
      <c r="B823" s="4">
        <v>4</v>
      </c>
      <c r="C823" s="5">
        <v>1.23</v>
      </c>
      <c r="D823" s="4">
        <v>1</v>
      </c>
      <c r="E823" s="5">
        <v>0.49</v>
      </c>
      <c r="F823" s="4">
        <v>3</v>
      </c>
      <c r="G823" s="5">
        <v>2.68</v>
      </c>
      <c r="H823" s="4">
        <v>0</v>
      </c>
    </row>
    <row r="824" spans="1:8" x14ac:dyDescent="0.2">
      <c r="A824" s="2" t="s">
        <v>80</v>
      </c>
      <c r="B824" s="4">
        <v>0</v>
      </c>
      <c r="C824" s="5">
        <v>0</v>
      </c>
      <c r="D824" s="4">
        <v>0</v>
      </c>
      <c r="E824" s="5">
        <v>0</v>
      </c>
      <c r="F824" s="4">
        <v>0</v>
      </c>
      <c r="G824" s="5">
        <v>0</v>
      </c>
      <c r="H824" s="4">
        <v>0</v>
      </c>
    </row>
    <row r="825" spans="1:8" x14ac:dyDescent="0.2">
      <c r="A825" s="2" t="s">
        <v>81</v>
      </c>
      <c r="B825" s="4">
        <v>70</v>
      </c>
      <c r="C825" s="5">
        <v>21.47</v>
      </c>
      <c r="D825" s="4">
        <v>51</v>
      </c>
      <c r="E825" s="5">
        <v>24.88</v>
      </c>
      <c r="F825" s="4">
        <v>19</v>
      </c>
      <c r="G825" s="5">
        <v>16.96</v>
      </c>
      <c r="H825" s="4">
        <v>0</v>
      </c>
    </row>
    <row r="826" spans="1:8" x14ac:dyDescent="0.2">
      <c r="A826" s="2" t="s">
        <v>82</v>
      </c>
      <c r="B826" s="4">
        <v>4</v>
      </c>
      <c r="C826" s="5">
        <v>1.23</v>
      </c>
      <c r="D826" s="4">
        <v>1</v>
      </c>
      <c r="E826" s="5">
        <v>0.49</v>
      </c>
      <c r="F826" s="4">
        <v>3</v>
      </c>
      <c r="G826" s="5">
        <v>2.68</v>
      </c>
      <c r="H826" s="4">
        <v>0</v>
      </c>
    </row>
    <row r="827" spans="1:8" x14ac:dyDescent="0.2">
      <c r="A827" s="2" t="s">
        <v>83</v>
      </c>
      <c r="B827" s="4">
        <v>21</v>
      </c>
      <c r="C827" s="5">
        <v>6.44</v>
      </c>
      <c r="D827" s="4">
        <v>9</v>
      </c>
      <c r="E827" s="5">
        <v>4.3899999999999997</v>
      </c>
      <c r="F827" s="4">
        <v>8</v>
      </c>
      <c r="G827" s="5">
        <v>7.14</v>
      </c>
      <c r="H827" s="4">
        <v>2</v>
      </c>
    </row>
    <row r="828" spans="1:8" x14ac:dyDescent="0.2">
      <c r="A828" s="2" t="s">
        <v>84</v>
      </c>
      <c r="B828" s="4">
        <v>4</v>
      </c>
      <c r="C828" s="5">
        <v>1.23</v>
      </c>
      <c r="D828" s="4">
        <v>2</v>
      </c>
      <c r="E828" s="5">
        <v>0.98</v>
      </c>
      <c r="F828" s="4">
        <v>2</v>
      </c>
      <c r="G828" s="5">
        <v>1.79</v>
      </c>
      <c r="H828" s="4">
        <v>0</v>
      </c>
    </row>
    <row r="829" spans="1:8" x14ac:dyDescent="0.2">
      <c r="A829" s="2" t="s">
        <v>85</v>
      </c>
      <c r="B829" s="4">
        <v>65</v>
      </c>
      <c r="C829" s="5">
        <v>19.940000000000001</v>
      </c>
      <c r="D829" s="4">
        <v>58</v>
      </c>
      <c r="E829" s="5">
        <v>28.29</v>
      </c>
      <c r="F829" s="4">
        <v>6</v>
      </c>
      <c r="G829" s="5">
        <v>5.36</v>
      </c>
      <c r="H829" s="4">
        <v>0</v>
      </c>
    </row>
    <row r="830" spans="1:8" x14ac:dyDescent="0.2">
      <c r="A830" s="2" t="s">
        <v>86</v>
      </c>
      <c r="B830" s="4">
        <v>44</v>
      </c>
      <c r="C830" s="5">
        <v>13.5</v>
      </c>
      <c r="D830" s="4">
        <v>40</v>
      </c>
      <c r="E830" s="5">
        <v>19.510000000000002</v>
      </c>
      <c r="F830" s="4">
        <v>3</v>
      </c>
      <c r="G830" s="5">
        <v>2.68</v>
      </c>
      <c r="H830" s="4">
        <v>0</v>
      </c>
    </row>
    <row r="831" spans="1:8" x14ac:dyDescent="0.2">
      <c r="A831" s="2" t="s">
        <v>87</v>
      </c>
      <c r="B831" s="4">
        <v>5</v>
      </c>
      <c r="C831" s="5">
        <v>1.53</v>
      </c>
      <c r="D831" s="4">
        <v>3</v>
      </c>
      <c r="E831" s="5">
        <v>1.46</v>
      </c>
      <c r="F831" s="4">
        <v>2</v>
      </c>
      <c r="G831" s="5">
        <v>1.79</v>
      </c>
      <c r="H831" s="4">
        <v>0</v>
      </c>
    </row>
    <row r="832" spans="1:8" x14ac:dyDescent="0.2">
      <c r="A832" s="2" t="s">
        <v>88</v>
      </c>
      <c r="B832" s="4">
        <v>15</v>
      </c>
      <c r="C832" s="5">
        <v>4.5999999999999996</v>
      </c>
      <c r="D832" s="4">
        <v>4</v>
      </c>
      <c r="E832" s="5">
        <v>1.95</v>
      </c>
      <c r="F832" s="4">
        <v>9</v>
      </c>
      <c r="G832" s="5">
        <v>8.0399999999999991</v>
      </c>
      <c r="H832" s="4">
        <v>0</v>
      </c>
    </row>
    <row r="833" spans="1:8" x14ac:dyDescent="0.2">
      <c r="A833" s="2" t="s">
        <v>89</v>
      </c>
      <c r="B833" s="4">
        <v>13</v>
      </c>
      <c r="C833" s="5">
        <v>3.99</v>
      </c>
      <c r="D833" s="4">
        <v>7</v>
      </c>
      <c r="E833" s="5">
        <v>3.41</v>
      </c>
      <c r="F833" s="4">
        <v>5</v>
      </c>
      <c r="G833" s="5">
        <v>4.46</v>
      </c>
      <c r="H833" s="4">
        <v>0</v>
      </c>
    </row>
    <row r="834" spans="1:8" x14ac:dyDescent="0.2">
      <c r="A834" s="1" t="s">
        <v>52</v>
      </c>
      <c r="B834" s="4">
        <v>513</v>
      </c>
      <c r="C834" s="5">
        <v>100.00000000000001</v>
      </c>
      <c r="D834" s="4">
        <v>291</v>
      </c>
      <c r="E834" s="5">
        <v>99.999999999999986</v>
      </c>
      <c r="F834" s="4">
        <v>218</v>
      </c>
      <c r="G834" s="5">
        <v>100.01</v>
      </c>
      <c r="H834" s="4">
        <v>0</v>
      </c>
    </row>
    <row r="835" spans="1:8" x14ac:dyDescent="0.2">
      <c r="A835" s="2" t="s">
        <v>75</v>
      </c>
      <c r="B835" s="4">
        <v>0</v>
      </c>
      <c r="C835" s="5">
        <v>0</v>
      </c>
      <c r="D835" s="4">
        <v>0</v>
      </c>
      <c r="E835" s="5">
        <v>0</v>
      </c>
      <c r="F835" s="4">
        <v>0</v>
      </c>
      <c r="G835" s="5">
        <v>0</v>
      </c>
      <c r="H835" s="4">
        <v>0</v>
      </c>
    </row>
    <row r="836" spans="1:8" x14ac:dyDescent="0.2">
      <c r="A836" s="2" t="s">
        <v>76</v>
      </c>
      <c r="B836" s="4">
        <v>115</v>
      </c>
      <c r="C836" s="5">
        <v>22.42</v>
      </c>
      <c r="D836" s="4">
        <v>24</v>
      </c>
      <c r="E836" s="5">
        <v>8.25</v>
      </c>
      <c r="F836" s="4">
        <v>91</v>
      </c>
      <c r="G836" s="5">
        <v>41.74</v>
      </c>
      <c r="H836" s="4">
        <v>0</v>
      </c>
    </row>
    <row r="837" spans="1:8" x14ac:dyDescent="0.2">
      <c r="A837" s="2" t="s">
        <v>77</v>
      </c>
      <c r="B837" s="4">
        <v>23</v>
      </c>
      <c r="C837" s="5">
        <v>4.4800000000000004</v>
      </c>
      <c r="D837" s="4">
        <v>13</v>
      </c>
      <c r="E837" s="5">
        <v>4.47</v>
      </c>
      <c r="F837" s="4">
        <v>10</v>
      </c>
      <c r="G837" s="5">
        <v>4.59</v>
      </c>
      <c r="H837" s="4">
        <v>0</v>
      </c>
    </row>
    <row r="838" spans="1:8" x14ac:dyDescent="0.2">
      <c r="A838" s="2" t="s">
        <v>78</v>
      </c>
      <c r="B838" s="4">
        <v>0</v>
      </c>
      <c r="C838" s="5">
        <v>0</v>
      </c>
      <c r="D838" s="4">
        <v>0</v>
      </c>
      <c r="E838" s="5">
        <v>0</v>
      </c>
      <c r="F838" s="4">
        <v>0</v>
      </c>
      <c r="G838" s="5">
        <v>0</v>
      </c>
      <c r="H838" s="4">
        <v>0</v>
      </c>
    </row>
    <row r="839" spans="1:8" x14ac:dyDescent="0.2">
      <c r="A839" s="2" t="s">
        <v>79</v>
      </c>
      <c r="B839" s="4">
        <v>3</v>
      </c>
      <c r="C839" s="5">
        <v>0.57999999999999996</v>
      </c>
      <c r="D839" s="4">
        <v>0</v>
      </c>
      <c r="E839" s="5">
        <v>0</v>
      </c>
      <c r="F839" s="4">
        <v>3</v>
      </c>
      <c r="G839" s="5">
        <v>1.38</v>
      </c>
      <c r="H839" s="4">
        <v>0</v>
      </c>
    </row>
    <row r="840" spans="1:8" x14ac:dyDescent="0.2">
      <c r="A840" s="2" t="s">
        <v>80</v>
      </c>
      <c r="B840" s="4">
        <v>4</v>
      </c>
      <c r="C840" s="5">
        <v>0.78</v>
      </c>
      <c r="D840" s="4">
        <v>2</v>
      </c>
      <c r="E840" s="5">
        <v>0.69</v>
      </c>
      <c r="F840" s="4">
        <v>2</v>
      </c>
      <c r="G840" s="5">
        <v>0.92</v>
      </c>
      <c r="H840" s="4">
        <v>0</v>
      </c>
    </row>
    <row r="841" spans="1:8" x14ac:dyDescent="0.2">
      <c r="A841" s="2" t="s">
        <v>81</v>
      </c>
      <c r="B841" s="4">
        <v>101</v>
      </c>
      <c r="C841" s="5">
        <v>19.690000000000001</v>
      </c>
      <c r="D841" s="4">
        <v>66</v>
      </c>
      <c r="E841" s="5">
        <v>22.68</v>
      </c>
      <c r="F841" s="4">
        <v>35</v>
      </c>
      <c r="G841" s="5">
        <v>16.059999999999999</v>
      </c>
      <c r="H841" s="4">
        <v>0</v>
      </c>
    </row>
    <row r="842" spans="1:8" x14ac:dyDescent="0.2">
      <c r="A842" s="2" t="s">
        <v>82</v>
      </c>
      <c r="B842" s="4">
        <v>2</v>
      </c>
      <c r="C842" s="5">
        <v>0.39</v>
      </c>
      <c r="D842" s="4">
        <v>0</v>
      </c>
      <c r="E842" s="5">
        <v>0</v>
      </c>
      <c r="F842" s="4">
        <v>2</v>
      </c>
      <c r="G842" s="5">
        <v>0.92</v>
      </c>
      <c r="H842" s="4">
        <v>0</v>
      </c>
    </row>
    <row r="843" spans="1:8" x14ac:dyDescent="0.2">
      <c r="A843" s="2" t="s">
        <v>83</v>
      </c>
      <c r="B843" s="4">
        <v>39</v>
      </c>
      <c r="C843" s="5">
        <v>7.6</v>
      </c>
      <c r="D843" s="4">
        <v>15</v>
      </c>
      <c r="E843" s="5">
        <v>5.15</v>
      </c>
      <c r="F843" s="4">
        <v>24</v>
      </c>
      <c r="G843" s="5">
        <v>11.01</v>
      </c>
      <c r="H843" s="4">
        <v>0</v>
      </c>
    </row>
    <row r="844" spans="1:8" x14ac:dyDescent="0.2">
      <c r="A844" s="2" t="s">
        <v>84</v>
      </c>
      <c r="B844" s="4">
        <v>20</v>
      </c>
      <c r="C844" s="5">
        <v>3.9</v>
      </c>
      <c r="D844" s="4">
        <v>12</v>
      </c>
      <c r="E844" s="5">
        <v>4.12</v>
      </c>
      <c r="F844" s="4">
        <v>8</v>
      </c>
      <c r="G844" s="5">
        <v>3.67</v>
      </c>
      <c r="H844" s="4">
        <v>0</v>
      </c>
    </row>
    <row r="845" spans="1:8" x14ac:dyDescent="0.2">
      <c r="A845" s="2" t="s">
        <v>85</v>
      </c>
      <c r="B845" s="4">
        <v>54</v>
      </c>
      <c r="C845" s="5">
        <v>10.53</v>
      </c>
      <c r="D845" s="4">
        <v>48</v>
      </c>
      <c r="E845" s="5">
        <v>16.489999999999998</v>
      </c>
      <c r="F845" s="4">
        <v>5</v>
      </c>
      <c r="G845" s="5">
        <v>2.29</v>
      </c>
      <c r="H845" s="4">
        <v>0</v>
      </c>
    </row>
    <row r="846" spans="1:8" x14ac:dyDescent="0.2">
      <c r="A846" s="2" t="s">
        <v>86</v>
      </c>
      <c r="B846" s="4">
        <v>71</v>
      </c>
      <c r="C846" s="5">
        <v>13.84</v>
      </c>
      <c r="D846" s="4">
        <v>56</v>
      </c>
      <c r="E846" s="5">
        <v>19.239999999999998</v>
      </c>
      <c r="F846" s="4">
        <v>15</v>
      </c>
      <c r="G846" s="5">
        <v>6.88</v>
      </c>
      <c r="H846" s="4">
        <v>0</v>
      </c>
    </row>
    <row r="847" spans="1:8" x14ac:dyDescent="0.2">
      <c r="A847" s="2" t="s">
        <v>87</v>
      </c>
      <c r="B847" s="4">
        <v>22</v>
      </c>
      <c r="C847" s="5">
        <v>4.29</v>
      </c>
      <c r="D847" s="4">
        <v>19</v>
      </c>
      <c r="E847" s="5">
        <v>6.53</v>
      </c>
      <c r="F847" s="4">
        <v>2</v>
      </c>
      <c r="G847" s="5">
        <v>0.92</v>
      </c>
      <c r="H847" s="4">
        <v>0</v>
      </c>
    </row>
    <row r="848" spans="1:8" x14ac:dyDescent="0.2">
      <c r="A848" s="2" t="s">
        <v>88</v>
      </c>
      <c r="B848" s="4">
        <v>32</v>
      </c>
      <c r="C848" s="5">
        <v>6.24</v>
      </c>
      <c r="D848" s="4">
        <v>18</v>
      </c>
      <c r="E848" s="5">
        <v>6.19</v>
      </c>
      <c r="F848" s="4">
        <v>12</v>
      </c>
      <c r="G848" s="5">
        <v>5.5</v>
      </c>
      <c r="H848" s="4">
        <v>0</v>
      </c>
    </row>
    <row r="849" spans="1:8" x14ac:dyDescent="0.2">
      <c r="A849" s="2" t="s">
        <v>89</v>
      </c>
      <c r="B849" s="4">
        <v>27</v>
      </c>
      <c r="C849" s="5">
        <v>5.26</v>
      </c>
      <c r="D849" s="4">
        <v>18</v>
      </c>
      <c r="E849" s="5">
        <v>6.19</v>
      </c>
      <c r="F849" s="4">
        <v>9</v>
      </c>
      <c r="G849" s="5">
        <v>4.13</v>
      </c>
      <c r="H849" s="4">
        <v>0</v>
      </c>
    </row>
    <row r="850" spans="1:8" x14ac:dyDescent="0.2">
      <c r="A850" s="1" t="s">
        <v>53</v>
      </c>
      <c r="B850" s="4">
        <v>529</v>
      </c>
      <c r="C850" s="5">
        <v>100.02000000000001</v>
      </c>
      <c r="D850" s="4">
        <v>282</v>
      </c>
      <c r="E850" s="5">
        <v>99.99</v>
      </c>
      <c r="F850" s="4">
        <v>245</v>
      </c>
      <c r="G850" s="5">
        <v>99.989999999999981</v>
      </c>
      <c r="H850" s="4">
        <v>0</v>
      </c>
    </row>
    <row r="851" spans="1:8" x14ac:dyDescent="0.2">
      <c r="A851" s="2" t="s">
        <v>75</v>
      </c>
      <c r="B851" s="4">
        <v>0</v>
      </c>
      <c r="C851" s="5">
        <v>0</v>
      </c>
      <c r="D851" s="4">
        <v>0</v>
      </c>
      <c r="E851" s="5">
        <v>0</v>
      </c>
      <c r="F851" s="4">
        <v>0</v>
      </c>
      <c r="G851" s="5">
        <v>0</v>
      </c>
      <c r="H851" s="4">
        <v>0</v>
      </c>
    </row>
    <row r="852" spans="1:8" x14ac:dyDescent="0.2">
      <c r="A852" s="2" t="s">
        <v>76</v>
      </c>
      <c r="B852" s="4">
        <v>124</v>
      </c>
      <c r="C852" s="5">
        <v>23.44</v>
      </c>
      <c r="D852" s="4">
        <v>35</v>
      </c>
      <c r="E852" s="5">
        <v>12.41</v>
      </c>
      <c r="F852" s="4">
        <v>89</v>
      </c>
      <c r="G852" s="5">
        <v>36.33</v>
      </c>
      <c r="H852" s="4">
        <v>0</v>
      </c>
    </row>
    <row r="853" spans="1:8" x14ac:dyDescent="0.2">
      <c r="A853" s="2" t="s">
        <v>77</v>
      </c>
      <c r="B853" s="4">
        <v>31</v>
      </c>
      <c r="C853" s="5">
        <v>5.86</v>
      </c>
      <c r="D853" s="4">
        <v>10</v>
      </c>
      <c r="E853" s="5">
        <v>3.55</v>
      </c>
      <c r="F853" s="4">
        <v>21</v>
      </c>
      <c r="G853" s="5">
        <v>8.57</v>
      </c>
      <c r="H853" s="4">
        <v>0</v>
      </c>
    </row>
    <row r="854" spans="1:8" x14ac:dyDescent="0.2">
      <c r="A854" s="2" t="s">
        <v>78</v>
      </c>
      <c r="B854" s="4">
        <v>0</v>
      </c>
      <c r="C854" s="5">
        <v>0</v>
      </c>
      <c r="D854" s="4">
        <v>0</v>
      </c>
      <c r="E854" s="5">
        <v>0</v>
      </c>
      <c r="F854" s="4">
        <v>0</v>
      </c>
      <c r="G854" s="5">
        <v>0</v>
      </c>
      <c r="H854" s="4">
        <v>0</v>
      </c>
    </row>
    <row r="855" spans="1:8" x14ac:dyDescent="0.2">
      <c r="A855" s="2" t="s">
        <v>79</v>
      </c>
      <c r="B855" s="4">
        <v>5</v>
      </c>
      <c r="C855" s="5">
        <v>0.95</v>
      </c>
      <c r="D855" s="4">
        <v>0</v>
      </c>
      <c r="E855" s="5">
        <v>0</v>
      </c>
      <c r="F855" s="4">
        <v>5</v>
      </c>
      <c r="G855" s="5">
        <v>2.04</v>
      </c>
      <c r="H855" s="4">
        <v>0</v>
      </c>
    </row>
    <row r="856" spans="1:8" x14ac:dyDescent="0.2">
      <c r="A856" s="2" t="s">
        <v>80</v>
      </c>
      <c r="B856" s="4">
        <v>6</v>
      </c>
      <c r="C856" s="5">
        <v>1.1299999999999999</v>
      </c>
      <c r="D856" s="4">
        <v>1</v>
      </c>
      <c r="E856" s="5">
        <v>0.35</v>
      </c>
      <c r="F856" s="4">
        <v>5</v>
      </c>
      <c r="G856" s="5">
        <v>2.04</v>
      </c>
      <c r="H856" s="4">
        <v>0</v>
      </c>
    </row>
    <row r="857" spans="1:8" x14ac:dyDescent="0.2">
      <c r="A857" s="2" t="s">
        <v>81</v>
      </c>
      <c r="B857" s="4">
        <v>116</v>
      </c>
      <c r="C857" s="5">
        <v>21.93</v>
      </c>
      <c r="D857" s="4">
        <v>71</v>
      </c>
      <c r="E857" s="5">
        <v>25.18</v>
      </c>
      <c r="F857" s="4">
        <v>45</v>
      </c>
      <c r="G857" s="5">
        <v>18.37</v>
      </c>
      <c r="H857" s="4">
        <v>0</v>
      </c>
    </row>
    <row r="858" spans="1:8" x14ac:dyDescent="0.2">
      <c r="A858" s="2" t="s">
        <v>82</v>
      </c>
      <c r="B858" s="4">
        <v>4</v>
      </c>
      <c r="C858" s="5">
        <v>0.76</v>
      </c>
      <c r="D858" s="4">
        <v>0</v>
      </c>
      <c r="E858" s="5">
        <v>0</v>
      </c>
      <c r="F858" s="4">
        <v>4</v>
      </c>
      <c r="G858" s="5">
        <v>1.63</v>
      </c>
      <c r="H858" s="4">
        <v>0</v>
      </c>
    </row>
    <row r="859" spans="1:8" x14ac:dyDescent="0.2">
      <c r="A859" s="2" t="s">
        <v>83</v>
      </c>
      <c r="B859" s="4">
        <v>23</v>
      </c>
      <c r="C859" s="5">
        <v>4.3499999999999996</v>
      </c>
      <c r="D859" s="4">
        <v>7</v>
      </c>
      <c r="E859" s="5">
        <v>2.48</v>
      </c>
      <c r="F859" s="4">
        <v>16</v>
      </c>
      <c r="G859" s="5">
        <v>6.53</v>
      </c>
      <c r="H859" s="4">
        <v>0</v>
      </c>
    </row>
    <row r="860" spans="1:8" x14ac:dyDescent="0.2">
      <c r="A860" s="2" t="s">
        <v>84</v>
      </c>
      <c r="B860" s="4">
        <v>24</v>
      </c>
      <c r="C860" s="5">
        <v>4.54</v>
      </c>
      <c r="D860" s="4">
        <v>16</v>
      </c>
      <c r="E860" s="5">
        <v>5.67</v>
      </c>
      <c r="F860" s="4">
        <v>8</v>
      </c>
      <c r="G860" s="5">
        <v>3.27</v>
      </c>
      <c r="H860" s="4">
        <v>0</v>
      </c>
    </row>
    <row r="861" spans="1:8" x14ac:dyDescent="0.2">
      <c r="A861" s="2" t="s">
        <v>85</v>
      </c>
      <c r="B861" s="4">
        <v>49</v>
      </c>
      <c r="C861" s="5">
        <v>9.26</v>
      </c>
      <c r="D861" s="4">
        <v>39</v>
      </c>
      <c r="E861" s="5">
        <v>13.83</v>
      </c>
      <c r="F861" s="4">
        <v>9</v>
      </c>
      <c r="G861" s="5">
        <v>3.67</v>
      </c>
      <c r="H861" s="4">
        <v>0</v>
      </c>
    </row>
    <row r="862" spans="1:8" x14ac:dyDescent="0.2">
      <c r="A862" s="2" t="s">
        <v>86</v>
      </c>
      <c r="B862" s="4">
        <v>74</v>
      </c>
      <c r="C862" s="5">
        <v>13.99</v>
      </c>
      <c r="D862" s="4">
        <v>60</v>
      </c>
      <c r="E862" s="5">
        <v>21.28</v>
      </c>
      <c r="F862" s="4">
        <v>14</v>
      </c>
      <c r="G862" s="5">
        <v>5.71</v>
      </c>
      <c r="H862" s="4">
        <v>0</v>
      </c>
    </row>
    <row r="863" spans="1:8" x14ac:dyDescent="0.2">
      <c r="A863" s="2" t="s">
        <v>87</v>
      </c>
      <c r="B863" s="4">
        <v>24</v>
      </c>
      <c r="C863" s="5">
        <v>4.54</v>
      </c>
      <c r="D863" s="4">
        <v>20</v>
      </c>
      <c r="E863" s="5">
        <v>7.09</v>
      </c>
      <c r="F863" s="4">
        <v>4</v>
      </c>
      <c r="G863" s="5">
        <v>1.63</v>
      </c>
      <c r="H863" s="4">
        <v>0</v>
      </c>
    </row>
    <row r="864" spans="1:8" x14ac:dyDescent="0.2">
      <c r="A864" s="2" t="s">
        <v>88</v>
      </c>
      <c r="B864" s="4">
        <v>24</v>
      </c>
      <c r="C864" s="5">
        <v>4.54</v>
      </c>
      <c r="D864" s="4">
        <v>9</v>
      </c>
      <c r="E864" s="5">
        <v>3.19</v>
      </c>
      <c r="F864" s="4">
        <v>15</v>
      </c>
      <c r="G864" s="5">
        <v>6.12</v>
      </c>
      <c r="H864" s="4">
        <v>0</v>
      </c>
    </row>
    <row r="865" spans="1:8" x14ac:dyDescent="0.2">
      <c r="A865" s="2" t="s">
        <v>89</v>
      </c>
      <c r="B865" s="4">
        <v>25</v>
      </c>
      <c r="C865" s="5">
        <v>4.7300000000000004</v>
      </c>
      <c r="D865" s="4">
        <v>14</v>
      </c>
      <c r="E865" s="5">
        <v>4.96</v>
      </c>
      <c r="F865" s="4">
        <v>10</v>
      </c>
      <c r="G865" s="5">
        <v>4.08</v>
      </c>
      <c r="H865" s="4">
        <v>0</v>
      </c>
    </row>
    <row r="866" spans="1:8" x14ac:dyDescent="0.2">
      <c r="A866" s="1" t="s">
        <v>54</v>
      </c>
      <c r="B866" s="4">
        <v>515</v>
      </c>
      <c r="C866" s="5">
        <v>99.999999999999986</v>
      </c>
      <c r="D866" s="4">
        <v>284</v>
      </c>
      <c r="E866" s="5">
        <v>100</v>
      </c>
      <c r="F866" s="4">
        <v>229</v>
      </c>
      <c r="G866" s="5">
        <v>100.01</v>
      </c>
      <c r="H866" s="4">
        <v>0</v>
      </c>
    </row>
    <row r="867" spans="1:8" x14ac:dyDescent="0.2">
      <c r="A867" s="2" t="s">
        <v>75</v>
      </c>
      <c r="B867" s="4">
        <v>0</v>
      </c>
      <c r="C867" s="5">
        <v>0</v>
      </c>
      <c r="D867" s="4">
        <v>0</v>
      </c>
      <c r="E867" s="5">
        <v>0</v>
      </c>
      <c r="F867" s="4">
        <v>0</v>
      </c>
      <c r="G867" s="5">
        <v>0</v>
      </c>
      <c r="H867" s="4">
        <v>0</v>
      </c>
    </row>
    <row r="868" spans="1:8" x14ac:dyDescent="0.2">
      <c r="A868" s="2" t="s">
        <v>76</v>
      </c>
      <c r="B868" s="4">
        <v>105</v>
      </c>
      <c r="C868" s="5">
        <v>20.39</v>
      </c>
      <c r="D868" s="4">
        <v>34</v>
      </c>
      <c r="E868" s="5">
        <v>11.97</v>
      </c>
      <c r="F868" s="4">
        <v>71</v>
      </c>
      <c r="G868" s="5">
        <v>31</v>
      </c>
      <c r="H868" s="4">
        <v>0</v>
      </c>
    </row>
    <row r="869" spans="1:8" x14ac:dyDescent="0.2">
      <c r="A869" s="2" t="s">
        <v>77</v>
      </c>
      <c r="B869" s="4">
        <v>53</v>
      </c>
      <c r="C869" s="5">
        <v>10.29</v>
      </c>
      <c r="D869" s="4">
        <v>15</v>
      </c>
      <c r="E869" s="5">
        <v>5.28</v>
      </c>
      <c r="F869" s="4">
        <v>38</v>
      </c>
      <c r="G869" s="5">
        <v>16.59</v>
      </c>
      <c r="H869" s="4">
        <v>0</v>
      </c>
    </row>
    <row r="870" spans="1:8" x14ac:dyDescent="0.2">
      <c r="A870" s="2" t="s">
        <v>78</v>
      </c>
      <c r="B870" s="4">
        <v>0</v>
      </c>
      <c r="C870" s="5">
        <v>0</v>
      </c>
      <c r="D870" s="4">
        <v>0</v>
      </c>
      <c r="E870" s="5">
        <v>0</v>
      </c>
      <c r="F870" s="4">
        <v>0</v>
      </c>
      <c r="G870" s="5">
        <v>0</v>
      </c>
      <c r="H870" s="4">
        <v>0</v>
      </c>
    </row>
    <row r="871" spans="1:8" x14ac:dyDescent="0.2">
      <c r="A871" s="2" t="s">
        <v>79</v>
      </c>
      <c r="B871" s="4">
        <v>2</v>
      </c>
      <c r="C871" s="5">
        <v>0.39</v>
      </c>
      <c r="D871" s="4">
        <v>1</v>
      </c>
      <c r="E871" s="5">
        <v>0.35</v>
      </c>
      <c r="F871" s="4">
        <v>1</v>
      </c>
      <c r="G871" s="5">
        <v>0.44</v>
      </c>
      <c r="H871" s="4">
        <v>0</v>
      </c>
    </row>
    <row r="872" spans="1:8" x14ac:dyDescent="0.2">
      <c r="A872" s="2" t="s">
        <v>80</v>
      </c>
      <c r="B872" s="4">
        <v>2</v>
      </c>
      <c r="C872" s="5">
        <v>0.39</v>
      </c>
      <c r="D872" s="4">
        <v>0</v>
      </c>
      <c r="E872" s="5">
        <v>0</v>
      </c>
      <c r="F872" s="4">
        <v>2</v>
      </c>
      <c r="G872" s="5">
        <v>0.87</v>
      </c>
      <c r="H872" s="4">
        <v>0</v>
      </c>
    </row>
    <row r="873" spans="1:8" x14ac:dyDescent="0.2">
      <c r="A873" s="2" t="s">
        <v>81</v>
      </c>
      <c r="B873" s="4">
        <v>113</v>
      </c>
      <c r="C873" s="5">
        <v>21.94</v>
      </c>
      <c r="D873" s="4">
        <v>61</v>
      </c>
      <c r="E873" s="5">
        <v>21.48</v>
      </c>
      <c r="F873" s="4">
        <v>52</v>
      </c>
      <c r="G873" s="5">
        <v>22.71</v>
      </c>
      <c r="H873" s="4">
        <v>0</v>
      </c>
    </row>
    <row r="874" spans="1:8" x14ac:dyDescent="0.2">
      <c r="A874" s="2" t="s">
        <v>82</v>
      </c>
      <c r="B874" s="4">
        <v>3</v>
      </c>
      <c r="C874" s="5">
        <v>0.57999999999999996</v>
      </c>
      <c r="D874" s="4">
        <v>0</v>
      </c>
      <c r="E874" s="5">
        <v>0</v>
      </c>
      <c r="F874" s="4">
        <v>3</v>
      </c>
      <c r="G874" s="5">
        <v>1.31</v>
      </c>
      <c r="H874" s="4">
        <v>0</v>
      </c>
    </row>
    <row r="875" spans="1:8" x14ac:dyDescent="0.2">
      <c r="A875" s="2" t="s">
        <v>83</v>
      </c>
      <c r="B875" s="4">
        <v>25</v>
      </c>
      <c r="C875" s="5">
        <v>4.8499999999999996</v>
      </c>
      <c r="D875" s="4">
        <v>12</v>
      </c>
      <c r="E875" s="5">
        <v>4.2300000000000004</v>
      </c>
      <c r="F875" s="4">
        <v>13</v>
      </c>
      <c r="G875" s="5">
        <v>5.68</v>
      </c>
      <c r="H875" s="4">
        <v>0</v>
      </c>
    </row>
    <row r="876" spans="1:8" x14ac:dyDescent="0.2">
      <c r="A876" s="2" t="s">
        <v>84</v>
      </c>
      <c r="B876" s="4">
        <v>16</v>
      </c>
      <c r="C876" s="5">
        <v>3.11</v>
      </c>
      <c r="D876" s="4">
        <v>9</v>
      </c>
      <c r="E876" s="5">
        <v>3.17</v>
      </c>
      <c r="F876" s="4">
        <v>7</v>
      </c>
      <c r="G876" s="5">
        <v>3.06</v>
      </c>
      <c r="H876" s="4">
        <v>0</v>
      </c>
    </row>
    <row r="877" spans="1:8" x14ac:dyDescent="0.2">
      <c r="A877" s="2" t="s">
        <v>85</v>
      </c>
      <c r="B877" s="4">
        <v>62</v>
      </c>
      <c r="C877" s="5">
        <v>12.04</v>
      </c>
      <c r="D877" s="4">
        <v>54</v>
      </c>
      <c r="E877" s="5">
        <v>19.010000000000002</v>
      </c>
      <c r="F877" s="4">
        <v>7</v>
      </c>
      <c r="G877" s="5">
        <v>3.06</v>
      </c>
      <c r="H877" s="4">
        <v>0</v>
      </c>
    </row>
    <row r="878" spans="1:8" x14ac:dyDescent="0.2">
      <c r="A878" s="2" t="s">
        <v>86</v>
      </c>
      <c r="B878" s="4">
        <v>59</v>
      </c>
      <c r="C878" s="5">
        <v>11.46</v>
      </c>
      <c r="D878" s="4">
        <v>47</v>
      </c>
      <c r="E878" s="5">
        <v>16.55</v>
      </c>
      <c r="F878" s="4">
        <v>12</v>
      </c>
      <c r="G878" s="5">
        <v>5.24</v>
      </c>
      <c r="H878" s="4">
        <v>0</v>
      </c>
    </row>
    <row r="879" spans="1:8" x14ac:dyDescent="0.2">
      <c r="A879" s="2" t="s">
        <v>87</v>
      </c>
      <c r="B879" s="4">
        <v>15</v>
      </c>
      <c r="C879" s="5">
        <v>2.91</v>
      </c>
      <c r="D879" s="4">
        <v>10</v>
      </c>
      <c r="E879" s="5">
        <v>3.52</v>
      </c>
      <c r="F879" s="4">
        <v>4</v>
      </c>
      <c r="G879" s="5">
        <v>1.75</v>
      </c>
      <c r="H879" s="4">
        <v>0</v>
      </c>
    </row>
    <row r="880" spans="1:8" x14ac:dyDescent="0.2">
      <c r="A880" s="2" t="s">
        <v>88</v>
      </c>
      <c r="B880" s="4">
        <v>22</v>
      </c>
      <c r="C880" s="5">
        <v>4.2699999999999996</v>
      </c>
      <c r="D880" s="4">
        <v>13</v>
      </c>
      <c r="E880" s="5">
        <v>4.58</v>
      </c>
      <c r="F880" s="4">
        <v>9</v>
      </c>
      <c r="G880" s="5">
        <v>3.93</v>
      </c>
      <c r="H880" s="4">
        <v>0</v>
      </c>
    </row>
    <row r="881" spans="1:8" x14ac:dyDescent="0.2">
      <c r="A881" s="2" t="s">
        <v>89</v>
      </c>
      <c r="B881" s="4">
        <v>38</v>
      </c>
      <c r="C881" s="5">
        <v>7.38</v>
      </c>
      <c r="D881" s="4">
        <v>28</v>
      </c>
      <c r="E881" s="5">
        <v>9.86</v>
      </c>
      <c r="F881" s="4">
        <v>10</v>
      </c>
      <c r="G881" s="5">
        <v>4.37</v>
      </c>
      <c r="H881" s="4">
        <v>0</v>
      </c>
    </row>
    <row r="882" spans="1:8" x14ac:dyDescent="0.2">
      <c r="A882" s="1" t="s">
        <v>55</v>
      </c>
      <c r="B882" s="4">
        <v>131</v>
      </c>
      <c r="C882" s="5">
        <v>100.00000000000001</v>
      </c>
      <c r="D882" s="4">
        <v>64</v>
      </c>
      <c r="E882" s="5">
        <v>100.00999999999999</v>
      </c>
      <c r="F882" s="4">
        <v>66</v>
      </c>
      <c r="G882" s="5">
        <v>100.01</v>
      </c>
      <c r="H882" s="4">
        <v>1</v>
      </c>
    </row>
    <row r="883" spans="1:8" x14ac:dyDescent="0.2">
      <c r="A883" s="2" t="s">
        <v>75</v>
      </c>
      <c r="B883" s="4">
        <v>0</v>
      </c>
      <c r="C883" s="5">
        <v>0</v>
      </c>
      <c r="D883" s="4">
        <v>0</v>
      </c>
      <c r="E883" s="5">
        <v>0</v>
      </c>
      <c r="F883" s="4">
        <v>0</v>
      </c>
      <c r="G883" s="5">
        <v>0</v>
      </c>
      <c r="H883" s="4">
        <v>0</v>
      </c>
    </row>
    <row r="884" spans="1:8" x14ac:dyDescent="0.2">
      <c r="A884" s="2" t="s">
        <v>76</v>
      </c>
      <c r="B884" s="4">
        <v>33</v>
      </c>
      <c r="C884" s="5">
        <v>25.19</v>
      </c>
      <c r="D884" s="4">
        <v>11</v>
      </c>
      <c r="E884" s="5">
        <v>17.190000000000001</v>
      </c>
      <c r="F884" s="4">
        <v>22</v>
      </c>
      <c r="G884" s="5">
        <v>33.33</v>
      </c>
      <c r="H884" s="4">
        <v>0</v>
      </c>
    </row>
    <row r="885" spans="1:8" x14ac:dyDescent="0.2">
      <c r="A885" s="2" t="s">
        <v>77</v>
      </c>
      <c r="B885" s="4">
        <v>23</v>
      </c>
      <c r="C885" s="5">
        <v>17.559999999999999</v>
      </c>
      <c r="D885" s="4">
        <v>10</v>
      </c>
      <c r="E885" s="5">
        <v>15.63</v>
      </c>
      <c r="F885" s="4">
        <v>13</v>
      </c>
      <c r="G885" s="5">
        <v>19.7</v>
      </c>
      <c r="H885" s="4">
        <v>0</v>
      </c>
    </row>
    <row r="886" spans="1:8" x14ac:dyDescent="0.2">
      <c r="A886" s="2" t="s">
        <v>78</v>
      </c>
      <c r="B886" s="4">
        <v>0</v>
      </c>
      <c r="C886" s="5">
        <v>0</v>
      </c>
      <c r="D886" s="4">
        <v>0</v>
      </c>
      <c r="E886" s="5">
        <v>0</v>
      </c>
      <c r="F886" s="4">
        <v>0</v>
      </c>
      <c r="G886" s="5">
        <v>0</v>
      </c>
      <c r="H886" s="4">
        <v>0</v>
      </c>
    </row>
    <row r="887" spans="1:8" x14ac:dyDescent="0.2">
      <c r="A887" s="2" t="s">
        <v>79</v>
      </c>
      <c r="B887" s="4">
        <v>0</v>
      </c>
      <c r="C887" s="5">
        <v>0</v>
      </c>
      <c r="D887" s="4">
        <v>0</v>
      </c>
      <c r="E887" s="5">
        <v>0</v>
      </c>
      <c r="F887" s="4">
        <v>0</v>
      </c>
      <c r="G887" s="5">
        <v>0</v>
      </c>
      <c r="H887" s="4">
        <v>0</v>
      </c>
    </row>
    <row r="888" spans="1:8" x14ac:dyDescent="0.2">
      <c r="A888" s="2" t="s">
        <v>80</v>
      </c>
      <c r="B888" s="4">
        <v>3</v>
      </c>
      <c r="C888" s="5">
        <v>2.29</v>
      </c>
      <c r="D888" s="4">
        <v>1</v>
      </c>
      <c r="E888" s="5">
        <v>1.56</v>
      </c>
      <c r="F888" s="4">
        <v>2</v>
      </c>
      <c r="G888" s="5">
        <v>3.03</v>
      </c>
      <c r="H888" s="4">
        <v>0</v>
      </c>
    </row>
    <row r="889" spans="1:8" x14ac:dyDescent="0.2">
      <c r="A889" s="2" t="s">
        <v>81</v>
      </c>
      <c r="B889" s="4">
        <v>32</v>
      </c>
      <c r="C889" s="5">
        <v>24.43</v>
      </c>
      <c r="D889" s="4">
        <v>21</v>
      </c>
      <c r="E889" s="5">
        <v>32.81</v>
      </c>
      <c r="F889" s="4">
        <v>10</v>
      </c>
      <c r="G889" s="5">
        <v>15.15</v>
      </c>
      <c r="H889" s="4">
        <v>1</v>
      </c>
    </row>
    <row r="890" spans="1:8" x14ac:dyDescent="0.2">
      <c r="A890" s="2" t="s">
        <v>82</v>
      </c>
      <c r="B890" s="4">
        <v>0</v>
      </c>
      <c r="C890" s="5">
        <v>0</v>
      </c>
      <c r="D890" s="4">
        <v>0</v>
      </c>
      <c r="E890" s="5">
        <v>0</v>
      </c>
      <c r="F890" s="4">
        <v>0</v>
      </c>
      <c r="G890" s="5">
        <v>0</v>
      </c>
      <c r="H890" s="4">
        <v>0</v>
      </c>
    </row>
    <row r="891" spans="1:8" x14ac:dyDescent="0.2">
      <c r="A891" s="2" t="s">
        <v>83</v>
      </c>
      <c r="B891" s="4">
        <v>3</v>
      </c>
      <c r="C891" s="5">
        <v>2.29</v>
      </c>
      <c r="D891" s="4">
        <v>0</v>
      </c>
      <c r="E891" s="5">
        <v>0</v>
      </c>
      <c r="F891" s="4">
        <v>3</v>
      </c>
      <c r="G891" s="5">
        <v>4.55</v>
      </c>
      <c r="H891" s="4">
        <v>0</v>
      </c>
    </row>
    <row r="892" spans="1:8" x14ac:dyDescent="0.2">
      <c r="A892" s="2" t="s">
        <v>84</v>
      </c>
      <c r="B892" s="4">
        <v>4</v>
      </c>
      <c r="C892" s="5">
        <v>3.05</v>
      </c>
      <c r="D892" s="4">
        <v>2</v>
      </c>
      <c r="E892" s="5">
        <v>3.13</v>
      </c>
      <c r="F892" s="4">
        <v>2</v>
      </c>
      <c r="G892" s="5">
        <v>3.03</v>
      </c>
      <c r="H892" s="4">
        <v>0</v>
      </c>
    </row>
    <row r="893" spans="1:8" x14ac:dyDescent="0.2">
      <c r="A893" s="2" t="s">
        <v>85</v>
      </c>
      <c r="B893" s="4">
        <v>1</v>
      </c>
      <c r="C893" s="5">
        <v>0.76</v>
      </c>
      <c r="D893" s="4">
        <v>1</v>
      </c>
      <c r="E893" s="5">
        <v>1.56</v>
      </c>
      <c r="F893" s="4">
        <v>0</v>
      </c>
      <c r="G893" s="5">
        <v>0</v>
      </c>
      <c r="H893" s="4">
        <v>0</v>
      </c>
    </row>
    <row r="894" spans="1:8" x14ac:dyDescent="0.2">
      <c r="A894" s="2" t="s">
        <v>86</v>
      </c>
      <c r="B894" s="4">
        <v>14</v>
      </c>
      <c r="C894" s="5">
        <v>10.69</v>
      </c>
      <c r="D894" s="4">
        <v>13</v>
      </c>
      <c r="E894" s="5">
        <v>20.309999999999999</v>
      </c>
      <c r="F894" s="4">
        <v>1</v>
      </c>
      <c r="G894" s="5">
        <v>1.52</v>
      </c>
      <c r="H894" s="4">
        <v>0</v>
      </c>
    </row>
    <row r="895" spans="1:8" x14ac:dyDescent="0.2">
      <c r="A895" s="2" t="s">
        <v>87</v>
      </c>
      <c r="B895" s="4">
        <v>2</v>
      </c>
      <c r="C895" s="5">
        <v>1.53</v>
      </c>
      <c r="D895" s="4">
        <v>0</v>
      </c>
      <c r="E895" s="5">
        <v>0</v>
      </c>
      <c r="F895" s="4">
        <v>2</v>
      </c>
      <c r="G895" s="5">
        <v>3.03</v>
      </c>
      <c r="H895" s="4">
        <v>0</v>
      </c>
    </row>
    <row r="896" spans="1:8" x14ac:dyDescent="0.2">
      <c r="A896" s="2" t="s">
        <v>88</v>
      </c>
      <c r="B896" s="4">
        <v>9</v>
      </c>
      <c r="C896" s="5">
        <v>6.87</v>
      </c>
      <c r="D896" s="4">
        <v>2</v>
      </c>
      <c r="E896" s="5">
        <v>3.13</v>
      </c>
      <c r="F896" s="4">
        <v>7</v>
      </c>
      <c r="G896" s="5">
        <v>10.61</v>
      </c>
      <c r="H896" s="4">
        <v>0</v>
      </c>
    </row>
    <row r="897" spans="1:8" x14ac:dyDescent="0.2">
      <c r="A897" s="2" t="s">
        <v>89</v>
      </c>
      <c r="B897" s="4">
        <v>7</v>
      </c>
      <c r="C897" s="5">
        <v>5.34</v>
      </c>
      <c r="D897" s="4">
        <v>3</v>
      </c>
      <c r="E897" s="5">
        <v>4.6900000000000004</v>
      </c>
      <c r="F897" s="4">
        <v>4</v>
      </c>
      <c r="G897" s="5">
        <v>6.06</v>
      </c>
      <c r="H897" s="4">
        <v>0</v>
      </c>
    </row>
    <row r="898" spans="1:8" x14ac:dyDescent="0.2">
      <c r="A898" s="1" t="s">
        <v>56</v>
      </c>
      <c r="B898" s="4">
        <v>340</v>
      </c>
      <c r="C898" s="5">
        <v>100.01000000000002</v>
      </c>
      <c r="D898" s="4">
        <v>168</v>
      </c>
      <c r="E898" s="5">
        <v>100.00000000000001</v>
      </c>
      <c r="F898" s="4">
        <v>170</v>
      </c>
      <c r="G898" s="5">
        <v>100</v>
      </c>
      <c r="H898" s="4">
        <v>0</v>
      </c>
    </row>
    <row r="899" spans="1:8" x14ac:dyDescent="0.2">
      <c r="A899" s="2" t="s">
        <v>75</v>
      </c>
      <c r="B899" s="4">
        <v>0</v>
      </c>
      <c r="C899" s="5">
        <v>0</v>
      </c>
      <c r="D899" s="4">
        <v>0</v>
      </c>
      <c r="E899" s="5">
        <v>0</v>
      </c>
      <c r="F899" s="4">
        <v>0</v>
      </c>
      <c r="G899" s="5">
        <v>0</v>
      </c>
      <c r="H899" s="4">
        <v>0</v>
      </c>
    </row>
    <row r="900" spans="1:8" x14ac:dyDescent="0.2">
      <c r="A900" s="2" t="s">
        <v>76</v>
      </c>
      <c r="B900" s="4">
        <v>84</v>
      </c>
      <c r="C900" s="5">
        <v>24.71</v>
      </c>
      <c r="D900" s="4">
        <v>23</v>
      </c>
      <c r="E900" s="5">
        <v>13.69</v>
      </c>
      <c r="F900" s="4">
        <v>61</v>
      </c>
      <c r="G900" s="5">
        <v>35.880000000000003</v>
      </c>
      <c r="H900" s="4">
        <v>0</v>
      </c>
    </row>
    <row r="901" spans="1:8" x14ac:dyDescent="0.2">
      <c r="A901" s="2" t="s">
        <v>77</v>
      </c>
      <c r="B901" s="4">
        <v>44</v>
      </c>
      <c r="C901" s="5">
        <v>12.94</v>
      </c>
      <c r="D901" s="4">
        <v>10</v>
      </c>
      <c r="E901" s="5">
        <v>5.95</v>
      </c>
      <c r="F901" s="4">
        <v>34</v>
      </c>
      <c r="G901" s="5">
        <v>20</v>
      </c>
      <c r="H901" s="4">
        <v>0</v>
      </c>
    </row>
    <row r="902" spans="1:8" x14ac:dyDescent="0.2">
      <c r="A902" s="2" t="s">
        <v>78</v>
      </c>
      <c r="B902" s="4">
        <v>2</v>
      </c>
      <c r="C902" s="5">
        <v>0.59</v>
      </c>
      <c r="D902" s="4">
        <v>0</v>
      </c>
      <c r="E902" s="5">
        <v>0</v>
      </c>
      <c r="F902" s="4">
        <v>2</v>
      </c>
      <c r="G902" s="5">
        <v>1.18</v>
      </c>
      <c r="H902" s="4">
        <v>0</v>
      </c>
    </row>
    <row r="903" spans="1:8" x14ac:dyDescent="0.2">
      <c r="A903" s="2" t="s">
        <v>79</v>
      </c>
      <c r="B903" s="4">
        <v>0</v>
      </c>
      <c r="C903" s="5">
        <v>0</v>
      </c>
      <c r="D903" s="4">
        <v>0</v>
      </c>
      <c r="E903" s="5">
        <v>0</v>
      </c>
      <c r="F903" s="4">
        <v>0</v>
      </c>
      <c r="G903" s="5">
        <v>0</v>
      </c>
      <c r="H903" s="4">
        <v>0</v>
      </c>
    </row>
    <row r="904" spans="1:8" x14ac:dyDescent="0.2">
      <c r="A904" s="2" t="s">
        <v>80</v>
      </c>
      <c r="B904" s="4">
        <v>5</v>
      </c>
      <c r="C904" s="5">
        <v>1.47</v>
      </c>
      <c r="D904" s="4">
        <v>0</v>
      </c>
      <c r="E904" s="5">
        <v>0</v>
      </c>
      <c r="F904" s="4">
        <v>5</v>
      </c>
      <c r="G904" s="5">
        <v>2.94</v>
      </c>
      <c r="H904" s="4">
        <v>0</v>
      </c>
    </row>
    <row r="905" spans="1:8" x14ac:dyDescent="0.2">
      <c r="A905" s="2" t="s">
        <v>81</v>
      </c>
      <c r="B905" s="4">
        <v>67</v>
      </c>
      <c r="C905" s="5">
        <v>19.71</v>
      </c>
      <c r="D905" s="4">
        <v>39</v>
      </c>
      <c r="E905" s="5">
        <v>23.21</v>
      </c>
      <c r="F905" s="4">
        <v>28</v>
      </c>
      <c r="G905" s="5">
        <v>16.47</v>
      </c>
      <c r="H905" s="4">
        <v>0</v>
      </c>
    </row>
    <row r="906" spans="1:8" x14ac:dyDescent="0.2">
      <c r="A906" s="2" t="s">
        <v>82</v>
      </c>
      <c r="B906" s="4">
        <v>1</v>
      </c>
      <c r="C906" s="5">
        <v>0.28999999999999998</v>
      </c>
      <c r="D906" s="4">
        <v>0</v>
      </c>
      <c r="E906" s="5">
        <v>0</v>
      </c>
      <c r="F906" s="4">
        <v>1</v>
      </c>
      <c r="G906" s="5">
        <v>0.59</v>
      </c>
      <c r="H906" s="4">
        <v>0</v>
      </c>
    </row>
    <row r="907" spans="1:8" x14ac:dyDescent="0.2">
      <c r="A907" s="2" t="s">
        <v>83</v>
      </c>
      <c r="B907" s="4">
        <v>11</v>
      </c>
      <c r="C907" s="5">
        <v>3.24</v>
      </c>
      <c r="D907" s="4">
        <v>2</v>
      </c>
      <c r="E907" s="5">
        <v>1.19</v>
      </c>
      <c r="F907" s="4">
        <v>9</v>
      </c>
      <c r="G907" s="5">
        <v>5.29</v>
      </c>
      <c r="H907" s="4">
        <v>0</v>
      </c>
    </row>
    <row r="908" spans="1:8" x14ac:dyDescent="0.2">
      <c r="A908" s="2" t="s">
        <v>84</v>
      </c>
      <c r="B908" s="4">
        <v>9</v>
      </c>
      <c r="C908" s="5">
        <v>2.65</v>
      </c>
      <c r="D908" s="4">
        <v>7</v>
      </c>
      <c r="E908" s="5">
        <v>4.17</v>
      </c>
      <c r="F908" s="4">
        <v>2</v>
      </c>
      <c r="G908" s="5">
        <v>1.18</v>
      </c>
      <c r="H908" s="4">
        <v>0</v>
      </c>
    </row>
    <row r="909" spans="1:8" x14ac:dyDescent="0.2">
      <c r="A909" s="2" t="s">
        <v>85</v>
      </c>
      <c r="B909" s="4">
        <v>30</v>
      </c>
      <c r="C909" s="5">
        <v>8.82</v>
      </c>
      <c r="D909" s="4">
        <v>25</v>
      </c>
      <c r="E909" s="5">
        <v>14.88</v>
      </c>
      <c r="F909" s="4">
        <v>4</v>
      </c>
      <c r="G909" s="5">
        <v>2.35</v>
      </c>
      <c r="H909" s="4">
        <v>0</v>
      </c>
    </row>
    <row r="910" spans="1:8" x14ac:dyDescent="0.2">
      <c r="A910" s="2" t="s">
        <v>86</v>
      </c>
      <c r="B910" s="4">
        <v>38</v>
      </c>
      <c r="C910" s="5">
        <v>11.18</v>
      </c>
      <c r="D910" s="4">
        <v>30</v>
      </c>
      <c r="E910" s="5">
        <v>17.86</v>
      </c>
      <c r="F910" s="4">
        <v>8</v>
      </c>
      <c r="G910" s="5">
        <v>4.71</v>
      </c>
      <c r="H910" s="4">
        <v>0</v>
      </c>
    </row>
    <row r="911" spans="1:8" x14ac:dyDescent="0.2">
      <c r="A911" s="2" t="s">
        <v>87</v>
      </c>
      <c r="B911" s="4">
        <v>10</v>
      </c>
      <c r="C911" s="5">
        <v>2.94</v>
      </c>
      <c r="D911" s="4">
        <v>8</v>
      </c>
      <c r="E911" s="5">
        <v>4.76</v>
      </c>
      <c r="F911" s="4">
        <v>1</v>
      </c>
      <c r="G911" s="5">
        <v>0.59</v>
      </c>
      <c r="H911" s="4">
        <v>0</v>
      </c>
    </row>
    <row r="912" spans="1:8" x14ac:dyDescent="0.2">
      <c r="A912" s="2" t="s">
        <v>88</v>
      </c>
      <c r="B912" s="4">
        <v>17</v>
      </c>
      <c r="C912" s="5">
        <v>5</v>
      </c>
      <c r="D912" s="4">
        <v>7</v>
      </c>
      <c r="E912" s="5">
        <v>4.17</v>
      </c>
      <c r="F912" s="4">
        <v>10</v>
      </c>
      <c r="G912" s="5">
        <v>5.88</v>
      </c>
      <c r="H912" s="4">
        <v>0</v>
      </c>
    </row>
    <row r="913" spans="1:8" x14ac:dyDescent="0.2">
      <c r="A913" s="2" t="s">
        <v>89</v>
      </c>
      <c r="B913" s="4">
        <v>22</v>
      </c>
      <c r="C913" s="5">
        <v>6.47</v>
      </c>
      <c r="D913" s="4">
        <v>17</v>
      </c>
      <c r="E913" s="5">
        <v>10.119999999999999</v>
      </c>
      <c r="F913" s="4">
        <v>5</v>
      </c>
      <c r="G913" s="5">
        <v>2.94</v>
      </c>
      <c r="H913" s="4">
        <v>0</v>
      </c>
    </row>
    <row r="914" spans="1:8" x14ac:dyDescent="0.2">
      <c r="A914" s="1" t="s">
        <v>57</v>
      </c>
      <c r="B914" s="4">
        <v>216</v>
      </c>
      <c r="C914" s="5">
        <v>99.990000000000009</v>
      </c>
      <c r="D914" s="4">
        <v>140</v>
      </c>
      <c r="E914" s="5">
        <v>100</v>
      </c>
      <c r="F914" s="4">
        <v>73</v>
      </c>
      <c r="G914" s="5">
        <v>100.01</v>
      </c>
      <c r="H914" s="4">
        <v>0</v>
      </c>
    </row>
    <row r="915" spans="1:8" x14ac:dyDescent="0.2">
      <c r="A915" s="2" t="s">
        <v>75</v>
      </c>
      <c r="B915" s="4">
        <v>0</v>
      </c>
      <c r="C915" s="5">
        <v>0</v>
      </c>
      <c r="D915" s="4">
        <v>0</v>
      </c>
      <c r="E915" s="5">
        <v>0</v>
      </c>
      <c r="F915" s="4">
        <v>0</v>
      </c>
      <c r="G915" s="5">
        <v>0</v>
      </c>
      <c r="H915" s="4">
        <v>0</v>
      </c>
    </row>
    <row r="916" spans="1:8" x14ac:dyDescent="0.2">
      <c r="A916" s="2" t="s">
        <v>76</v>
      </c>
      <c r="B916" s="4">
        <v>35</v>
      </c>
      <c r="C916" s="5">
        <v>16.2</v>
      </c>
      <c r="D916" s="4">
        <v>16</v>
      </c>
      <c r="E916" s="5">
        <v>11.43</v>
      </c>
      <c r="F916" s="4">
        <v>19</v>
      </c>
      <c r="G916" s="5">
        <v>26.03</v>
      </c>
      <c r="H916" s="4">
        <v>0</v>
      </c>
    </row>
    <row r="917" spans="1:8" x14ac:dyDescent="0.2">
      <c r="A917" s="2" t="s">
        <v>77</v>
      </c>
      <c r="B917" s="4">
        <v>11</v>
      </c>
      <c r="C917" s="5">
        <v>5.09</v>
      </c>
      <c r="D917" s="4">
        <v>5</v>
      </c>
      <c r="E917" s="5">
        <v>3.57</v>
      </c>
      <c r="F917" s="4">
        <v>6</v>
      </c>
      <c r="G917" s="5">
        <v>8.2200000000000006</v>
      </c>
      <c r="H917" s="4">
        <v>0</v>
      </c>
    </row>
    <row r="918" spans="1:8" x14ac:dyDescent="0.2">
      <c r="A918" s="2" t="s">
        <v>78</v>
      </c>
      <c r="B918" s="4">
        <v>3</v>
      </c>
      <c r="C918" s="5">
        <v>1.39</v>
      </c>
      <c r="D918" s="4">
        <v>0</v>
      </c>
      <c r="E918" s="5">
        <v>0</v>
      </c>
      <c r="F918" s="4">
        <v>3</v>
      </c>
      <c r="G918" s="5">
        <v>4.1100000000000003</v>
      </c>
      <c r="H918" s="4">
        <v>0</v>
      </c>
    </row>
    <row r="919" spans="1:8" x14ac:dyDescent="0.2">
      <c r="A919" s="2" t="s">
        <v>79</v>
      </c>
      <c r="B919" s="4">
        <v>1</v>
      </c>
      <c r="C919" s="5">
        <v>0.46</v>
      </c>
      <c r="D919" s="4">
        <v>0</v>
      </c>
      <c r="E919" s="5">
        <v>0</v>
      </c>
      <c r="F919" s="4">
        <v>1</v>
      </c>
      <c r="G919" s="5">
        <v>1.37</v>
      </c>
      <c r="H919" s="4">
        <v>0</v>
      </c>
    </row>
    <row r="920" spans="1:8" x14ac:dyDescent="0.2">
      <c r="A920" s="2" t="s">
        <v>80</v>
      </c>
      <c r="B920" s="4">
        <v>0</v>
      </c>
      <c r="C920" s="5">
        <v>0</v>
      </c>
      <c r="D920" s="4">
        <v>0</v>
      </c>
      <c r="E920" s="5">
        <v>0</v>
      </c>
      <c r="F920" s="4">
        <v>0</v>
      </c>
      <c r="G920" s="5">
        <v>0</v>
      </c>
      <c r="H920" s="4">
        <v>0</v>
      </c>
    </row>
    <row r="921" spans="1:8" x14ac:dyDescent="0.2">
      <c r="A921" s="2" t="s">
        <v>81</v>
      </c>
      <c r="B921" s="4">
        <v>44</v>
      </c>
      <c r="C921" s="5">
        <v>20.37</v>
      </c>
      <c r="D921" s="4">
        <v>28</v>
      </c>
      <c r="E921" s="5">
        <v>20</v>
      </c>
      <c r="F921" s="4">
        <v>16</v>
      </c>
      <c r="G921" s="5">
        <v>21.92</v>
      </c>
      <c r="H921" s="4">
        <v>0</v>
      </c>
    </row>
    <row r="922" spans="1:8" x14ac:dyDescent="0.2">
      <c r="A922" s="2" t="s">
        <v>82</v>
      </c>
      <c r="B922" s="4">
        <v>0</v>
      </c>
      <c r="C922" s="5">
        <v>0</v>
      </c>
      <c r="D922" s="4">
        <v>0</v>
      </c>
      <c r="E922" s="5">
        <v>0</v>
      </c>
      <c r="F922" s="4">
        <v>0</v>
      </c>
      <c r="G922" s="5">
        <v>0</v>
      </c>
      <c r="H922" s="4">
        <v>0</v>
      </c>
    </row>
    <row r="923" spans="1:8" x14ac:dyDescent="0.2">
      <c r="A923" s="2" t="s">
        <v>83</v>
      </c>
      <c r="B923" s="4">
        <v>20</v>
      </c>
      <c r="C923" s="5">
        <v>9.26</v>
      </c>
      <c r="D923" s="4">
        <v>14</v>
      </c>
      <c r="E923" s="5">
        <v>10</v>
      </c>
      <c r="F923" s="4">
        <v>6</v>
      </c>
      <c r="G923" s="5">
        <v>8.2200000000000006</v>
      </c>
      <c r="H923" s="4">
        <v>0</v>
      </c>
    </row>
    <row r="924" spans="1:8" x14ac:dyDescent="0.2">
      <c r="A924" s="2" t="s">
        <v>84</v>
      </c>
      <c r="B924" s="4">
        <v>10</v>
      </c>
      <c r="C924" s="5">
        <v>4.63</v>
      </c>
      <c r="D924" s="4">
        <v>5</v>
      </c>
      <c r="E924" s="5">
        <v>3.57</v>
      </c>
      <c r="F924" s="4">
        <v>5</v>
      </c>
      <c r="G924" s="5">
        <v>6.85</v>
      </c>
      <c r="H924" s="4">
        <v>0</v>
      </c>
    </row>
    <row r="925" spans="1:8" x14ac:dyDescent="0.2">
      <c r="A925" s="2" t="s">
        <v>85</v>
      </c>
      <c r="B925" s="4">
        <v>29</v>
      </c>
      <c r="C925" s="5">
        <v>13.43</v>
      </c>
      <c r="D925" s="4">
        <v>28</v>
      </c>
      <c r="E925" s="5">
        <v>20</v>
      </c>
      <c r="F925" s="4">
        <v>1</v>
      </c>
      <c r="G925" s="5">
        <v>1.37</v>
      </c>
      <c r="H925" s="4">
        <v>0</v>
      </c>
    </row>
    <row r="926" spans="1:8" x14ac:dyDescent="0.2">
      <c r="A926" s="2" t="s">
        <v>86</v>
      </c>
      <c r="B926" s="4">
        <v>37</v>
      </c>
      <c r="C926" s="5">
        <v>17.13</v>
      </c>
      <c r="D926" s="4">
        <v>29</v>
      </c>
      <c r="E926" s="5">
        <v>20.71</v>
      </c>
      <c r="F926" s="4">
        <v>7</v>
      </c>
      <c r="G926" s="5">
        <v>9.59</v>
      </c>
      <c r="H926" s="4">
        <v>0</v>
      </c>
    </row>
    <row r="927" spans="1:8" x14ac:dyDescent="0.2">
      <c r="A927" s="2" t="s">
        <v>87</v>
      </c>
      <c r="B927" s="4">
        <v>4</v>
      </c>
      <c r="C927" s="5">
        <v>1.85</v>
      </c>
      <c r="D927" s="4">
        <v>4</v>
      </c>
      <c r="E927" s="5">
        <v>2.86</v>
      </c>
      <c r="F927" s="4">
        <v>0</v>
      </c>
      <c r="G927" s="5">
        <v>0</v>
      </c>
      <c r="H927" s="4">
        <v>0</v>
      </c>
    </row>
    <row r="928" spans="1:8" x14ac:dyDescent="0.2">
      <c r="A928" s="2" t="s">
        <v>88</v>
      </c>
      <c r="B928" s="4">
        <v>14</v>
      </c>
      <c r="C928" s="5">
        <v>6.48</v>
      </c>
      <c r="D928" s="4">
        <v>6</v>
      </c>
      <c r="E928" s="5">
        <v>4.29</v>
      </c>
      <c r="F928" s="4">
        <v>7</v>
      </c>
      <c r="G928" s="5">
        <v>9.59</v>
      </c>
      <c r="H928" s="4">
        <v>0</v>
      </c>
    </row>
    <row r="929" spans="1:8" x14ac:dyDescent="0.2">
      <c r="A929" s="2" t="s">
        <v>89</v>
      </c>
      <c r="B929" s="4">
        <v>8</v>
      </c>
      <c r="C929" s="5">
        <v>3.7</v>
      </c>
      <c r="D929" s="4">
        <v>5</v>
      </c>
      <c r="E929" s="5">
        <v>3.57</v>
      </c>
      <c r="F929" s="4">
        <v>2</v>
      </c>
      <c r="G929" s="5">
        <v>2.74</v>
      </c>
      <c r="H929" s="4">
        <v>0</v>
      </c>
    </row>
    <row r="930" spans="1:8" x14ac:dyDescent="0.2">
      <c r="A930" s="1" t="s">
        <v>58</v>
      </c>
      <c r="B930" s="4">
        <v>476</v>
      </c>
      <c r="C930" s="5">
        <v>99.98</v>
      </c>
      <c r="D930" s="4">
        <v>263</v>
      </c>
      <c r="E930" s="5">
        <v>99.99</v>
      </c>
      <c r="F930" s="4">
        <v>208</v>
      </c>
      <c r="G930" s="5">
        <v>99.99</v>
      </c>
      <c r="H930" s="4">
        <v>0</v>
      </c>
    </row>
    <row r="931" spans="1:8" x14ac:dyDescent="0.2">
      <c r="A931" s="2" t="s">
        <v>75</v>
      </c>
      <c r="B931" s="4">
        <v>0</v>
      </c>
      <c r="C931" s="5">
        <v>0</v>
      </c>
      <c r="D931" s="4">
        <v>0</v>
      </c>
      <c r="E931" s="5">
        <v>0</v>
      </c>
      <c r="F931" s="4">
        <v>0</v>
      </c>
      <c r="G931" s="5">
        <v>0</v>
      </c>
      <c r="H931" s="4">
        <v>0</v>
      </c>
    </row>
    <row r="932" spans="1:8" x14ac:dyDescent="0.2">
      <c r="A932" s="2" t="s">
        <v>76</v>
      </c>
      <c r="B932" s="4">
        <v>114</v>
      </c>
      <c r="C932" s="5">
        <v>23.95</v>
      </c>
      <c r="D932" s="4">
        <v>52</v>
      </c>
      <c r="E932" s="5">
        <v>19.77</v>
      </c>
      <c r="F932" s="4">
        <v>62</v>
      </c>
      <c r="G932" s="5">
        <v>29.81</v>
      </c>
      <c r="H932" s="4">
        <v>0</v>
      </c>
    </row>
    <row r="933" spans="1:8" x14ac:dyDescent="0.2">
      <c r="A933" s="2" t="s">
        <v>77</v>
      </c>
      <c r="B933" s="4">
        <v>49</v>
      </c>
      <c r="C933" s="5">
        <v>10.29</v>
      </c>
      <c r="D933" s="4">
        <v>19</v>
      </c>
      <c r="E933" s="5">
        <v>7.22</v>
      </c>
      <c r="F933" s="4">
        <v>30</v>
      </c>
      <c r="G933" s="5">
        <v>14.42</v>
      </c>
      <c r="H933" s="4">
        <v>0</v>
      </c>
    </row>
    <row r="934" spans="1:8" x14ac:dyDescent="0.2">
      <c r="A934" s="2" t="s">
        <v>78</v>
      </c>
      <c r="B934" s="4">
        <v>2</v>
      </c>
      <c r="C934" s="5">
        <v>0.42</v>
      </c>
      <c r="D934" s="4">
        <v>0</v>
      </c>
      <c r="E934" s="5">
        <v>0</v>
      </c>
      <c r="F934" s="4">
        <v>2</v>
      </c>
      <c r="G934" s="5">
        <v>0.96</v>
      </c>
      <c r="H934" s="4">
        <v>0</v>
      </c>
    </row>
    <row r="935" spans="1:8" x14ac:dyDescent="0.2">
      <c r="A935" s="2" t="s">
        <v>79</v>
      </c>
      <c r="B935" s="4">
        <v>2</v>
      </c>
      <c r="C935" s="5">
        <v>0.42</v>
      </c>
      <c r="D935" s="4">
        <v>0</v>
      </c>
      <c r="E935" s="5">
        <v>0</v>
      </c>
      <c r="F935" s="4">
        <v>2</v>
      </c>
      <c r="G935" s="5">
        <v>0.96</v>
      </c>
      <c r="H935" s="4">
        <v>0</v>
      </c>
    </row>
    <row r="936" spans="1:8" x14ac:dyDescent="0.2">
      <c r="A936" s="2" t="s">
        <v>80</v>
      </c>
      <c r="B936" s="4">
        <v>4</v>
      </c>
      <c r="C936" s="5">
        <v>0.84</v>
      </c>
      <c r="D936" s="4">
        <v>0</v>
      </c>
      <c r="E936" s="5">
        <v>0</v>
      </c>
      <c r="F936" s="4">
        <v>4</v>
      </c>
      <c r="G936" s="5">
        <v>1.92</v>
      </c>
      <c r="H936" s="4">
        <v>0</v>
      </c>
    </row>
    <row r="937" spans="1:8" x14ac:dyDescent="0.2">
      <c r="A937" s="2" t="s">
        <v>81</v>
      </c>
      <c r="B937" s="4">
        <v>124</v>
      </c>
      <c r="C937" s="5">
        <v>26.05</v>
      </c>
      <c r="D937" s="4">
        <v>70</v>
      </c>
      <c r="E937" s="5">
        <v>26.62</v>
      </c>
      <c r="F937" s="4">
        <v>54</v>
      </c>
      <c r="G937" s="5">
        <v>25.96</v>
      </c>
      <c r="H937" s="4">
        <v>0</v>
      </c>
    </row>
    <row r="938" spans="1:8" x14ac:dyDescent="0.2">
      <c r="A938" s="2" t="s">
        <v>82</v>
      </c>
      <c r="B938" s="4">
        <v>1</v>
      </c>
      <c r="C938" s="5">
        <v>0.21</v>
      </c>
      <c r="D938" s="4">
        <v>0</v>
      </c>
      <c r="E938" s="5">
        <v>0</v>
      </c>
      <c r="F938" s="4">
        <v>1</v>
      </c>
      <c r="G938" s="5">
        <v>0.48</v>
      </c>
      <c r="H938" s="4">
        <v>0</v>
      </c>
    </row>
    <row r="939" spans="1:8" x14ac:dyDescent="0.2">
      <c r="A939" s="2" t="s">
        <v>83</v>
      </c>
      <c r="B939" s="4">
        <v>23</v>
      </c>
      <c r="C939" s="5">
        <v>4.83</v>
      </c>
      <c r="D939" s="4">
        <v>8</v>
      </c>
      <c r="E939" s="5">
        <v>3.04</v>
      </c>
      <c r="F939" s="4">
        <v>15</v>
      </c>
      <c r="G939" s="5">
        <v>7.21</v>
      </c>
      <c r="H939" s="4">
        <v>0</v>
      </c>
    </row>
    <row r="940" spans="1:8" x14ac:dyDescent="0.2">
      <c r="A940" s="2" t="s">
        <v>84</v>
      </c>
      <c r="B940" s="4">
        <v>11</v>
      </c>
      <c r="C940" s="5">
        <v>2.31</v>
      </c>
      <c r="D940" s="4">
        <v>6</v>
      </c>
      <c r="E940" s="5">
        <v>2.2799999999999998</v>
      </c>
      <c r="F940" s="4">
        <v>5</v>
      </c>
      <c r="G940" s="5">
        <v>2.4</v>
      </c>
      <c r="H940" s="4">
        <v>0</v>
      </c>
    </row>
    <row r="941" spans="1:8" x14ac:dyDescent="0.2">
      <c r="A941" s="2" t="s">
        <v>85</v>
      </c>
      <c r="B941" s="4">
        <v>38</v>
      </c>
      <c r="C941" s="5">
        <v>7.98</v>
      </c>
      <c r="D941" s="4">
        <v>32</v>
      </c>
      <c r="E941" s="5">
        <v>12.17</v>
      </c>
      <c r="F941" s="4">
        <v>6</v>
      </c>
      <c r="G941" s="5">
        <v>2.88</v>
      </c>
      <c r="H941" s="4">
        <v>0</v>
      </c>
    </row>
    <row r="942" spans="1:8" x14ac:dyDescent="0.2">
      <c r="A942" s="2" t="s">
        <v>86</v>
      </c>
      <c r="B942" s="4">
        <v>53</v>
      </c>
      <c r="C942" s="5">
        <v>11.13</v>
      </c>
      <c r="D942" s="4">
        <v>46</v>
      </c>
      <c r="E942" s="5">
        <v>17.489999999999998</v>
      </c>
      <c r="F942" s="4">
        <v>7</v>
      </c>
      <c r="G942" s="5">
        <v>3.37</v>
      </c>
      <c r="H942" s="4">
        <v>0</v>
      </c>
    </row>
    <row r="943" spans="1:8" x14ac:dyDescent="0.2">
      <c r="A943" s="2" t="s">
        <v>87</v>
      </c>
      <c r="B943" s="4">
        <v>11</v>
      </c>
      <c r="C943" s="5">
        <v>2.31</v>
      </c>
      <c r="D943" s="4">
        <v>7</v>
      </c>
      <c r="E943" s="5">
        <v>2.66</v>
      </c>
      <c r="F943" s="4">
        <v>2</v>
      </c>
      <c r="G943" s="5">
        <v>0.96</v>
      </c>
      <c r="H943" s="4">
        <v>0</v>
      </c>
    </row>
    <row r="944" spans="1:8" x14ac:dyDescent="0.2">
      <c r="A944" s="2" t="s">
        <v>88</v>
      </c>
      <c r="B944" s="4">
        <v>25</v>
      </c>
      <c r="C944" s="5">
        <v>5.25</v>
      </c>
      <c r="D944" s="4">
        <v>14</v>
      </c>
      <c r="E944" s="5">
        <v>5.32</v>
      </c>
      <c r="F944" s="4">
        <v>8</v>
      </c>
      <c r="G944" s="5">
        <v>3.85</v>
      </c>
      <c r="H944" s="4">
        <v>0</v>
      </c>
    </row>
    <row r="945" spans="1:8" x14ac:dyDescent="0.2">
      <c r="A945" s="2" t="s">
        <v>89</v>
      </c>
      <c r="B945" s="4">
        <v>19</v>
      </c>
      <c r="C945" s="5">
        <v>3.99</v>
      </c>
      <c r="D945" s="4">
        <v>9</v>
      </c>
      <c r="E945" s="5">
        <v>3.42</v>
      </c>
      <c r="F945" s="4">
        <v>10</v>
      </c>
      <c r="G945" s="5">
        <v>4.8099999999999996</v>
      </c>
      <c r="H945" s="4">
        <v>0</v>
      </c>
    </row>
    <row r="946" spans="1:8" x14ac:dyDescent="0.2">
      <c r="A946" s="1" t="s">
        <v>59</v>
      </c>
      <c r="B946" s="4">
        <v>125</v>
      </c>
      <c r="C946" s="5">
        <v>100</v>
      </c>
      <c r="D946" s="4">
        <v>91</v>
      </c>
      <c r="E946" s="5">
        <v>100.00999999999999</v>
      </c>
      <c r="F946" s="4">
        <v>32</v>
      </c>
      <c r="G946" s="5">
        <v>100.00999999999999</v>
      </c>
      <c r="H946" s="4">
        <v>1</v>
      </c>
    </row>
    <row r="947" spans="1:8" x14ac:dyDescent="0.2">
      <c r="A947" s="2" t="s">
        <v>75</v>
      </c>
      <c r="B947" s="4">
        <v>0</v>
      </c>
      <c r="C947" s="5">
        <v>0</v>
      </c>
      <c r="D947" s="4">
        <v>0</v>
      </c>
      <c r="E947" s="5">
        <v>0</v>
      </c>
      <c r="F947" s="4">
        <v>0</v>
      </c>
      <c r="G947" s="5">
        <v>0</v>
      </c>
      <c r="H947" s="4">
        <v>0</v>
      </c>
    </row>
    <row r="948" spans="1:8" x14ac:dyDescent="0.2">
      <c r="A948" s="2" t="s">
        <v>76</v>
      </c>
      <c r="B948" s="4">
        <v>17</v>
      </c>
      <c r="C948" s="5">
        <v>13.6</v>
      </c>
      <c r="D948" s="4">
        <v>13</v>
      </c>
      <c r="E948" s="5">
        <v>14.29</v>
      </c>
      <c r="F948" s="4">
        <v>4</v>
      </c>
      <c r="G948" s="5">
        <v>12.5</v>
      </c>
      <c r="H948" s="4">
        <v>0</v>
      </c>
    </row>
    <row r="949" spans="1:8" x14ac:dyDescent="0.2">
      <c r="A949" s="2" t="s">
        <v>77</v>
      </c>
      <c r="B949" s="4">
        <v>34</v>
      </c>
      <c r="C949" s="5">
        <v>27.2</v>
      </c>
      <c r="D949" s="4">
        <v>18</v>
      </c>
      <c r="E949" s="5">
        <v>19.78</v>
      </c>
      <c r="F949" s="4">
        <v>15</v>
      </c>
      <c r="G949" s="5">
        <v>46.88</v>
      </c>
      <c r="H949" s="4">
        <v>1</v>
      </c>
    </row>
    <row r="950" spans="1:8" x14ac:dyDescent="0.2">
      <c r="A950" s="2" t="s">
        <v>78</v>
      </c>
      <c r="B950" s="4">
        <v>1</v>
      </c>
      <c r="C950" s="5">
        <v>0.8</v>
      </c>
      <c r="D950" s="4">
        <v>0</v>
      </c>
      <c r="E950" s="5">
        <v>0</v>
      </c>
      <c r="F950" s="4">
        <v>0</v>
      </c>
      <c r="G950" s="5">
        <v>0</v>
      </c>
      <c r="H950" s="4">
        <v>0</v>
      </c>
    </row>
    <row r="951" spans="1:8" x14ac:dyDescent="0.2">
      <c r="A951" s="2" t="s">
        <v>79</v>
      </c>
      <c r="B951" s="4">
        <v>0</v>
      </c>
      <c r="C951" s="5">
        <v>0</v>
      </c>
      <c r="D951" s="4">
        <v>0</v>
      </c>
      <c r="E951" s="5">
        <v>0</v>
      </c>
      <c r="F951" s="4">
        <v>0</v>
      </c>
      <c r="G951" s="5">
        <v>0</v>
      </c>
      <c r="H951" s="4">
        <v>0</v>
      </c>
    </row>
    <row r="952" spans="1:8" x14ac:dyDescent="0.2">
      <c r="A952" s="2" t="s">
        <v>80</v>
      </c>
      <c r="B952" s="4">
        <v>2</v>
      </c>
      <c r="C952" s="5">
        <v>1.6</v>
      </c>
      <c r="D952" s="4">
        <v>0</v>
      </c>
      <c r="E952" s="5">
        <v>0</v>
      </c>
      <c r="F952" s="4">
        <v>2</v>
      </c>
      <c r="G952" s="5">
        <v>6.25</v>
      </c>
      <c r="H952" s="4">
        <v>0</v>
      </c>
    </row>
    <row r="953" spans="1:8" x14ac:dyDescent="0.2">
      <c r="A953" s="2" t="s">
        <v>81</v>
      </c>
      <c r="B953" s="4">
        <v>36</v>
      </c>
      <c r="C953" s="5">
        <v>28.8</v>
      </c>
      <c r="D953" s="4">
        <v>30</v>
      </c>
      <c r="E953" s="5">
        <v>32.97</v>
      </c>
      <c r="F953" s="4">
        <v>6</v>
      </c>
      <c r="G953" s="5">
        <v>18.75</v>
      </c>
      <c r="H953" s="4">
        <v>0</v>
      </c>
    </row>
    <row r="954" spans="1:8" x14ac:dyDescent="0.2">
      <c r="A954" s="2" t="s">
        <v>82</v>
      </c>
      <c r="B954" s="4">
        <v>0</v>
      </c>
      <c r="C954" s="5">
        <v>0</v>
      </c>
      <c r="D954" s="4">
        <v>0</v>
      </c>
      <c r="E954" s="5">
        <v>0</v>
      </c>
      <c r="F954" s="4">
        <v>0</v>
      </c>
      <c r="G954" s="5">
        <v>0</v>
      </c>
      <c r="H954" s="4">
        <v>0</v>
      </c>
    </row>
    <row r="955" spans="1:8" x14ac:dyDescent="0.2">
      <c r="A955" s="2" t="s">
        <v>83</v>
      </c>
      <c r="B955" s="4">
        <v>0</v>
      </c>
      <c r="C955" s="5">
        <v>0</v>
      </c>
      <c r="D955" s="4">
        <v>0</v>
      </c>
      <c r="E955" s="5">
        <v>0</v>
      </c>
      <c r="F955" s="4">
        <v>0</v>
      </c>
      <c r="G955" s="5">
        <v>0</v>
      </c>
      <c r="H955" s="4">
        <v>0</v>
      </c>
    </row>
    <row r="956" spans="1:8" x14ac:dyDescent="0.2">
      <c r="A956" s="2" t="s">
        <v>84</v>
      </c>
      <c r="B956" s="4">
        <v>7</v>
      </c>
      <c r="C956" s="5">
        <v>5.6</v>
      </c>
      <c r="D956" s="4">
        <v>7</v>
      </c>
      <c r="E956" s="5">
        <v>7.69</v>
      </c>
      <c r="F956" s="4">
        <v>0</v>
      </c>
      <c r="G956" s="5">
        <v>0</v>
      </c>
      <c r="H956" s="4">
        <v>0</v>
      </c>
    </row>
    <row r="957" spans="1:8" x14ac:dyDescent="0.2">
      <c r="A957" s="2" t="s">
        <v>85</v>
      </c>
      <c r="B957" s="4">
        <v>13</v>
      </c>
      <c r="C957" s="5">
        <v>10.4</v>
      </c>
      <c r="D957" s="4">
        <v>10</v>
      </c>
      <c r="E957" s="5">
        <v>10.99</v>
      </c>
      <c r="F957" s="4">
        <v>3</v>
      </c>
      <c r="G957" s="5">
        <v>9.3800000000000008</v>
      </c>
      <c r="H957" s="4">
        <v>0</v>
      </c>
    </row>
    <row r="958" spans="1:8" x14ac:dyDescent="0.2">
      <c r="A958" s="2" t="s">
        <v>86</v>
      </c>
      <c r="B958" s="4">
        <v>6</v>
      </c>
      <c r="C958" s="5">
        <v>4.8</v>
      </c>
      <c r="D958" s="4">
        <v>6</v>
      </c>
      <c r="E958" s="5">
        <v>6.59</v>
      </c>
      <c r="F958" s="4">
        <v>0</v>
      </c>
      <c r="G958" s="5">
        <v>0</v>
      </c>
      <c r="H958" s="4">
        <v>0</v>
      </c>
    </row>
    <row r="959" spans="1:8" x14ac:dyDescent="0.2">
      <c r="A959" s="2" t="s">
        <v>87</v>
      </c>
      <c r="B959" s="4">
        <v>4</v>
      </c>
      <c r="C959" s="5">
        <v>3.2</v>
      </c>
      <c r="D959" s="4">
        <v>2</v>
      </c>
      <c r="E959" s="5">
        <v>2.2000000000000002</v>
      </c>
      <c r="F959" s="4">
        <v>2</v>
      </c>
      <c r="G959" s="5">
        <v>6.25</v>
      </c>
      <c r="H959" s="4">
        <v>0</v>
      </c>
    </row>
    <row r="960" spans="1:8" x14ac:dyDescent="0.2">
      <c r="A960" s="2" t="s">
        <v>88</v>
      </c>
      <c r="B960" s="4">
        <v>2</v>
      </c>
      <c r="C960" s="5">
        <v>1.6</v>
      </c>
      <c r="D960" s="4">
        <v>2</v>
      </c>
      <c r="E960" s="5">
        <v>2.2000000000000002</v>
      </c>
      <c r="F960" s="4">
        <v>0</v>
      </c>
      <c r="G960" s="5">
        <v>0</v>
      </c>
      <c r="H960" s="4">
        <v>0</v>
      </c>
    </row>
    <row r="961" spans="1:8" x14ac:dyDescent="0.2">
      <c r="A961" s="2" t="s">
        <v>89</v>
      </c>
      <c r="B961" s="4">
        <v>3</v>
      </c>
      <c r="C961" s="5">
        <v>2.4</v>
      </c>
      <c r="D961" s="4">
        <v>3</v>
      </c>
      <c r="E961" s="5">
        <v>3.3</v>
      </c>
      <c r="F961" s="4">
        <v>0</v>
      </c>
      <c r="G961" s="5">
        <v>0</v>
      </c>
      <c r="H961" s="4">
        <v>0</v>
      </c>
    </row>
    <row r="962" spans="1:8" x14ac:dyDescent="0.2">
      <c r="A962" s="1" t="s">
        <v>60</v>
      </c>
      <c r="B962" s="4">
        <v>257</v>
      </c>
      <c r="C962" s="5">
        <v>99.990000000000009</v>
      </c>
      <c r="D962" s="4">
        <v>145</v>
      </c>
      <c r="E962" s="5">
        <v>100.01</v>
      </c>
      <c r="F962" s="4">
        <v>107</v>
      </c>
      <c r="G962" s="5">
        <v>100.00000000000001</v>
      </c>
      <c r="H962" s="4">
        <v>4</v>
      </c>
    </row>
    <row r="963" spans="1:8" x14ac:dyDescent="0.2">
      <c r="A963" s="2" t="s">
        <v>75</v>
      </c>
      <c r="B963" s="4">
        <v>0</v>
      </c>
      <c r="C963" s="5">
        <v>0</v>
      </c>
      <c r="D963" s="4">
        <v>0</v>
      </c>
      <c r="E963" s="5">
        <v>0</v>
      </c>
      <c r="F963" s="4">
        <v>0</v>
      </c>
      <c r="G963" s="5">
        <v>0</v>
      </c>
      <c r="H963" s="4">
        <v>0</v>
      </c>
    </row>
    <row r="964" spans="1:8" x14ac:dyDescent="0.2">
      <c r="A964" s="2" t="s">
        <v>76</v>
      </c>
      <c r="B964" s="4">
        <v>49</v>
      </c>
      <c r="C964" s="5">
        <v>19.07</v>
      </c>
      <c r="D964" s="4">
        <v>20</v>
      </c>
      <c r="E964" s="5">
        <v>13.79</v>
      </c>
      <c r="F964" s="4">
        <v>29</v>
      </c>
      <c r="G964" s="5">
        <v>27.1</v>
      </c>
      <c r="H964" s="4">
        <v>0</v>
      </c>
    </row>
    <row r="965" spans="1:8" x14ac:dyDescent="0.2">
      <c r="A965" s="2" t="s">
        <v>77</v>
      </c>
      <c r="B965" s="4">
        <v>25</v>
      </c>
      <c r="C965" s="5">
        <v>9.73</v>
      </c>
      <c r="D965" s="4">
        <v>7</v>
      </c>
      <c r="E965" s="5">
        <v>4.83</v>
      </c>
      <c r="F965" s="4">
        <v>18</v>
      </c>
      <c r="G965" s="5">
        <v>16.82</v>
      </c>
      <c r="H965" s="4">
        <v>0</v>
      </c>
    </row>
    <row r="966" spans="1:8" x14ac:dyDescent="0.2">
      <c r="A966" s="2" t="s">
        <v>78</v>
      </c>
      <c r="B966" s="4">
        <v>0</v>
      </c>
      <c r="C966" s="5">
        <v>0</v>
      </c>
      <c r="D966" s="4">
        <v>0</v>
      </c>
      <c r="E966" s="5">
        <v>0</v>
      </c>
      <c r="F966" s="4">
        <v>0</v>
      </c>
      <c r="G966" s="5">
        <v>0</v>
      </c>
      <c r="H966" s="4">
        <v>0</v>
      </c>
    </row>
    <row r="967" spans="1:8" x14ac:dyDescent="0.2">
      <c r="A967" s="2" t="s">
        <v>79</v>
      </c>
      <c r="B967" s="4">
        <v>0</v>
      </c>
      <c r="C967" s="5">
        <v>0</v>
      </c>
      <c r="D967" s="4">
        <v>0</v>
      </c>
      <c r="E967" s="5">
        <v>0</v>
      </c>
      <c r="F967" s="4">
        <v>0</v>
      </c>
      <c r="G967" s="5">
        <v>0</v>
      </c>
      <c r="H967" s="4">
        <v>0</v>
      </c>
    </row>
    <row r="968" spans="1:8" x14ac:dyDescent="0.2">
      <c r="A968" s="2" t="s">
        <v>80</v>
      </c>
      <c r="B968" s="4">
        <v>8</v>
      </c>
      <c r="C968" s="5">
        <v>3.11</v>
      </c>
      <c r="D968" s="4">
        <v>2</v>
      </c>
      <c r="E968" s="5">
        <v>1.38</v>
      </c>
      <c r="F968" s="4">
        <v>6</v>
      </c>
      <c r="G968" s="5">
        <v>5.61</v>
      </c>
      <c r="H968" s="4">
        <v>0</v>
      </c>
    </row>
    <row r="969" spans="1:8" x14ac:dyDescent="0.2">
      <c r="A969" s="2" t="s">
        <v>81</v>
      </c>
      <c r="B969" s="4">
        <v>66</v>
      </c>
      <c r="C969" s="5">
        <v>25.68</v>
      </c>
      <c r="D969" s="4">
        <v>38</v>
      </c>
      <c r="E969" s="5">
        <v>26.21</v>
      </c>
      <c r="F969" s="4">
        <v>28</v>
      </c>
      <c r="G969" s="5">
        <v>26.17</v>
      </c>
      <c r="H969" s="4">
        <v>0</v>
      </c>
    </row>
    <row r="970" spans="1:8" x14ac:dyDescent="0.2">
      <c r="A970" s="2" t="s">
        <v>82</v>
      </c>
      <c r="B970" s="4">
        <v>1</v>
      </c>
      <c r="C970" s="5">
        <v>0.39</v>
      </c>
      <c r="D970" s="4">
        <v>1</v>
      </c>
      <c r="E970" s="5">
        <v>0.69</v>
      </c>
      <c r="F970" s="4">
        <v>0</v>
      </c>
      <c r="G970" s="5">
        <v>0</v>
      </c>
      <c r="H970" s="4">
        <v>0</v>
      </c>
    </row>
    <row r="971" spans="1:8" x14ac:dyDescent="0.2">
      <c r="A971" s="2" t="s">
        <v>83</v>
      </c>
      <c r="B971" s="4">
        <v>8</v>
      </c>
      <c r="C971" s="5">
        <v>3.11</v>
      </c>
      <c r="D971" s="4">
        <v>2</v>
      </c>
      <c r="E971" s="5">
        <v>1.38</v>
      </c>
      <c r="F971" s="4">
        <v>6</v>
      </c>
      <c r="G971" s="5">
        <v>5.61</v>
      </c>
      <c r="H971" s="4">
        <v>0</v>
      </c>
    </row>
    <row r="972" spans="1:8" x14ac:dyDescent="0.2">
      <c r="A972" s="2" t="s">
        <v>84</v>
      </c>
      <c r="B972" s="4">
        <v>6</v>
      </c>
      <c r="C972" s="5">
        <v>2.33</v>
      </c>
      <c r="D972" s="4">
        <v>5</v>
      </c>
      <c r="E972" s="5">
        <v>3.45</v>
      </c>
      <c r="F972" s="4">
        <v>1</v>
      </c>
      <c r="G972" s="5">
        <v>0.93</v>
      </c>
      <c r="H972" s="4">
        <v>0</v>
      </c>
    </row>
    <row r="973" spans="1:8" x14ac:dyDescent="0.2">
      <c r="A973" s="2" t="s">
        <v>85</v>
      </c>
      <c r="B973" s="4">
        <v>11</v>
      </c>
      <c r="C973" s="5">
        <v>4.28</v>
      </c>
      <c r="D973" s="4">
        <v>10</v>
      </c>
      <c r="E973" s="5">
        <v>6.9</v>
      </c>
      <c r="F973" s="4">
        <v>1</v>
      </c>
      <c r="G973" s="5">
        <v>0.93</v>
      </c>
      <c r="H973" s="4">
        <v>0</v>
      </c>
    </row>
    <row r="974" spans="1:8" x14ac:dyDescent="0.2">
      <c r="A974" s="2" t="s">
        <v>86</v>
      </c>
      <c r="B974" s="4">
        <v>32</v>
      </c>
      <c r="C974" s="5">
        <v>12.45</v>
      </c>
      <c r="D974" s="4">
        <v>26</v>
      </c>
      <c r="E974" s="5">
        <v>17.93</v>
      </c>
      <c r="F974" s="4">
        <v>6</v>
      </c>
      <c r="G974" s="5">
        <v>5.61</v>
      </c>
      <c r="H974" s="4">
        <v>0</v>
      </c>
    </row>
    <row r="975" spans="1:8" x14ac:dyDescent="0.2">
      <c r="A975" s="2" t="s">
        <v>87</v>
      </c>
      <c r="B975" s="4">
        <v>10</v>
      </c>
      <c r="C975" s="5">
        <v>3.89</v>
      </c>
      <c r="D975" s="4">
        <v>10</v>
      </c>
      <c r="E975" s="5">
        <v>6.9</v>
      </c>
      <c r="F975" s="4">
        <v>0</v>
      </c>
      <c r="G975" s="5">
        <v>0</v>
      </c>
      <c r="H975" s="4">
        <v>0</v>
      </c>
    </row>
    <row r="976" spans="1:8" x14ac:dyDescent="0.2">
      <c r="A976" s="2" t="s">
        <v>88</v>
      </c>
      <c r="B976" s="4">
        <v>17</v>
      </c>
      <c r="C976" s="5">
        <v>6.61</v>
      </c>
      <c r="D976" s="4">
        <v>8</v>
      </c>
      <c r="E976" s="5">
        <v>5.52</v>
      </c>
      <c r="F976" s="4">
        <v>8</v>
      </c>
      <c r="G976" s="5">
        <v>7.48</v>
      </c>
      <c r="H976" s="4">
        <v>0</v>
      </c>
    </row>
    <row r="977" spans="1:8" x14ac:dyDescent="0.2">
      <c r="A977" s="2" t="s">
        <v>89</v>
      </c>
      <c r="B977" s="4">
        <v>24</v>
      </c>
      <c r="C977" s="5">
        <v>9.34</v>
      </c>
      <c r="D977" s="4">
        <v>16</v>
      </c>
      <c r="E977" s="5">
        <v>11.03</v>
      </c>
      <c r="F977" s="4">
        <v>4</v>
      </c>
      <c r="G977" s="5">
        <v>3.74</v>
      </c>
      <c r="H977" s="4">
        <v>4</v>
      </c>
    </row>
    <row r="978" spans="1:8" x14ac:dyDescent="0.2">
      <c r="A978" s="1" t="s">
        <v>61</v>
      </c>
      <c r="B978" s="4">
        <v>315</v>
      </c>
      <c r="C978" s="5">
        <v>100.00000000000001</v>
      </c>
      <c r="D978" s="4">
        <v>208</v>
      </c>
      <c r="E978" s="5">
        <v>100.02</v>
      </c>
      <c r="F978" s="4">
        <v>102</v>
      </c>
      <c r="G978" s="5">
        <v>99.99</v>
      </c>
      <c r="H978" s="4">
        <v>0</v>
      </c>
    </row>
    <row r="979" spans="1:8" x14ac:dyDescent="0.2">
      <c r="A979" s="2" t="s">
        <v>75</v>
      </c>
      <c r="B979" s="4">
        <v>0</v>
      </c>
      <c r="C979" s="5">
        <v>0</v>
      </c>
      <c r="D979" s="4">
        <v>0</v>
      </c>
      <c r="E979" s="5">
        <v>0</v>
      </c>
      <c r="F979" s="4">
        <v>0</v>
      </c>
      <c r="G979" s="5">
        <v>0</v>
      </c>
      <c r="H979" s="4">
        <v>0</v>
      </c>
    </row>
    <row r="980" spans="1:8" x14ac:dyDescent="0.2">
      <c r="A980" s="2" t="s">
        <v>76</v>
      </c>
      <c r="B980" s="4">
        <v>42</v>
      </c>
      <c r="C980" s="5">
        <v>13.33</v>
      </c>
      <c r="D980" s="4">
        <v>25</v>
      </c>
      <c r="E980" s="5">
        <v>12.02</v>
      </c>
      <c r="F980" s="4">
        <v>17</v>
      </c>
      <c r="G980" s="5">
        <v>16.670000000000002</v>
      </c>
      <c r="H980" s="4">
        <v>0</v>
      </c>
    </row>
    <row r="981" spans="1:8" x14ac:dyDescent="0.2">
      <c r="A981" s="2" t="s">
        <v>77</v>
      </c>
      <c r="B981" s="4">
        <v>53</v>
      </c>
      <c r="C981" s="5">
        <v>16.829999999999998</v>
      </c>
      <c r="D981" s="4">
        <v>30</v>
      </c>
      <c r="E981" s="5">
        <v>14.42</v>
      </c>
      <c r="F981" s="4">
        <v>23</v>
      </c>
      <c r="G981" s="5">
        <v>22.55</v>
      </c>
      <c r="H981" s="4">
        <v>0</v>
      </c>
    </row>
    <row r="982" spans="1:8" x14ac:dyDescent="0.2">
      <c r="A982" s="2" t="s">
        <v>78</v>
      </c>
      <c r="B982" s="4">
        <v>3</v>
      </c>
      <c r="C982" s="5">
        <v>0.95</v>
      </c>
      <c r="D982" s="4">
        <v>0</v>
      </c>
      <c r="E982" s="5">
        <v>0</v>
      </c>
      <c r="F982" s="4">
        <v>2</v>
      </c>
      <c r="G982" s="5">
        <v>1.96</v>
      </c>
      <c r="H982" s="4">
        <v>0</v>
      </c>
    </row>
    <row r="983" spans="1:8" x14ac:dyDescent="0.2">
      <c r="A983" s="2" t="s">
        <v>79</v>
      </c>
      <c r="B983" s="4">
        <v>0</v>
      </c>
      <c r="C983" s="5">
        <v>0</v>
      </c>
      <c r="D983" s="4">
        <v>0</v>
      </c>
      <c r="E983" s="5">
        <v>0</v>
      </c>
      <c r="F983" s="4">
        <v>0</v>
      </c>
      <c r="G983" s="5">
        <v>0</v>
      </c>
      <c r="H983" s="4">
        <v>0</v>
      </c>
    </row>
    <row r="984" spans="1:8" x14ac:dyDescent="0.2">
      <c r="A984" s="2" t="s">
        <v>80</v>
      </c>
      <c r="B984" s="4">
        <v>0</v>
      </c>
      <c r="C984" s="5">
        <v>0</v>
      </c>
      <c r="D984" s="4">
        <v>0</v>
      </c>
      <c r="E984" s="5">
        <v>0</v>
      </c>
      <c r="F984" s="4">
        <v>0</v>
      </c>
      <c r="G984" s="5">
        <v>0</v>
      </c>
      <c r="H984" s="4">
        <v>0</v>
      </c>
    </row>
    <row r="985" spans="1:8" x14ac:dyDescent="0.2">
      <c r="A985" s="2" t="s">
        <v>81</v>
      </c>
      <c r="B985" s="4">
        <v>89</v>
      </c>
      <c r="C985" s="5">
        <v>28.25</v>
      </c>
      <c r="D985" s="4">
        <v>60</v>
      </c>
      <c r="E985" s="5">
        <v>28.85</v>
      </c>
      <c r="F985" s="4">
        <v>29</v>
      </c>
      <c r="G985" s="5">
        <v>28.43</v>
      </c>
      <c r="H985" s="4">
        <v>0</v>
      </c>
    </row>
    <row r="986" spans="1:8" x14ac:dyDescent="0.2">
      <c r="A986" s="2" t="s">
        <v>82</v>
      </c>
      <c r="B986" s="4">
        <v>2</v>
      </c>
      <c r="C986" s="5">
        <v>0.63</v>
      </c>
      <c r="D986" s="4">
        <v>0</v>
      </c>
      <c r="E986" s="5">
        <v>0</v>
      </c>
      <c r="F986" s="4">
        <v>2</v>
      </c>
      <c r="G986" s="5">
        <v>1.96</v>
      </c>
      <c r="H986" s="4">
        <v>0</v>
      </c>
    </row>
    <row r="987" spans="1:8" x14ac:dyDescent="0.2">
      <c r="A987" s="2" t="s">
        <v>83</v>
      </c>
      <c r="B987" s="4">
        <v>29</v>
      </c>
      <c r="C987" s="5">
        <v>9.2100000000000009</v>
      </c>
      <c r="D987" s="4">
        <v>20</v>
      </c>
      <c r="E987" s="5">
        <v>9.6199999999999992</v>
      </c>
      <c r="F987" s="4">
        <v>9</v>
      </c>
      <c r="G987" s="5">
        <v>8.82</v>
      </c>
      <c r="H987" s="4">
        <v>0</v>
      </c>
    </row>
    <row r="988" spans="1:8" x14ac:dyDescent="0.2">
      <c r="A988" s="2" t="s">
        <v>84</v>
      </c>
      <c r="B988" s="4">
        <v>9</v>
      </c>
      <c r="C988" s="5">
        <v>2.86</v>
      </c>
      <c r="D988" s="4">
        <v>8</v>
      </c>
      <c r="E988" s="5">
        <v>3.85</v>
      </c>
      <c r="F988" s="4">
        <v>1</v>
      </c>
      <c r="G988" s="5">
        <v>0.98</v>
      </c>
      <c r="H988" s="4">
        <v>0</v>
      </c>
    </row>
    <row r="989" spans="1:8" x14ac:dyDescent="0.2">
      <c r="A989" s="2" t="s">
        <v>85</v>
      </c>
      <c r="B989" s="4">
        <v>12</v>
      </c>
      <c r="C989" s="5">
        <v>3.81</v>
      </c>
      <c r="D989" s="4">
        <v>10</v>
      </c>
      <c r="E989" s="5">
        <v>4.8099999999999996</v>
      </c>
      <c r="F989" s="4">
        <v>2</v>
      </c>
      <c r="G989" s="5">
        <v>1.96</v>
      </c>
      <c r="H989" s="4">
        <v>0</v>
      </c>
    </row>
    <row r="990" spans="1:8" x14ac:dyDescent="0.2">
      <c r="A990" s="2" t="s">
        <v>86</v>
      </c>
      <c r="B990" s="4">
        <v>33</v>
      </c>
      <c r="C990" s="5">
        <v>10.48</v>
      </c>
      <c r="D990" s="4">
        <v>27</v>
      </c>
      <c r="E990" s="5">
        <v>12.98</v>
      </c>
      <c r="F990" s="4">
        <v>5</v>
      </c>
      <c r="G990" s="5">
        <v>4.9000000000000004</v>
      </c>
      <c r="H990" s="4">
        <v>0</v>
      </c>
    </row>
    <row r="991" spans="1:8" x14ac:dyDescent="0.2">
      <c r="A991" s="2" t="s">
        <v>87</v>
      </c>
      <c r="B991" s="4">
        <v>15</v>
      </c>
      <c r="C991" s="5">
        <v>4.76</v>
      </c>
      <c r="D991" s="4">
        <v>10</v>
      </c>
      <c r="E991" s="5">
        <v>4.8099999999999996</v>
      </c>
      <c r="F991" s="4">
        <v>5</v>
      </c>
      <c r="G991" s="5">
        <v>4.9000000000000004</v>
      </c>
      <c r="H991" s="4">
        <v>0</v>
      </c>
    </row>
    <row r="992" spans="1:8" x14ac:dyDescent="0.2">
      <c r="A992" s="2" t="s">
        <v>88</v>
      </c>
      <c r="B992" s="4">
        <v>13</v>
      </c>
      <c r="C992" s="5">
        <v>4.13</v>
      </c>
      <c r="D992" s="4">
        <v>8</v>
      </c>
      <c r="E992" s="5">
        <v>3.85</v>
      </c>
      <c r="F992" s="4">
        <v>5</v>
      </c>
      <c r="G992" s="5">
        <v>4.9000000000000004</v>
      </c>
      <c r="H992" s="4">
        <v>0</v>
      </c>
    </row>
    <row r="993" spans="1:8" x14ac:dyDescent="0.2">
      <c r="A993" s="2" t="s">
        <v>89</v>
      </c>
      <c r="B993" s="4">
        <v>15</v>
      </c>
      <c r="C993" s="5">
        <v>4.76</v>
      </c>
      <c r="D993" s="4">
        <v>10</v>
      </c>
      <c r="E993" s="5">
        <v>4.8099999999999996</v>
      </c>
      <c r="F993" s="4">
        <v>2</v>
      </c>
      <c r="G993" s="5">
        <v>1.96</v>
      </c>
      <c r="H993" s="4">
        <v>0</v>
      </c>
    </row>
    <row r="994" spans="1:8" x14ac:dyDescent="0.2">
      <c r="A994" s="1" t="s">
        <v>62</v>
      </c>
      <c r="B994" s="4">
        <v>426</v>
      </c>
      <c r="C994" s="5">
        <v>100.01</v>
      </c>
      <c r="D994" s="4">
        <v>262</v>
      </c>
      <c r="E994" s="5">
        <v>100</v>
      </c>
      <c r="F994" s="4">
        <v>160</v>
      </c>
      <c r="G994" s="5">
        <v>100.02999999999997</v>
      </c>
      <c r="H994" s="4">
        <v>2</v>
      </c>
    </row>
    <row r="995" spans="1:8" x14ac:dyDescent="0.2">
      <c r="A995" s="2" t="s">
        <v>75</v>
      </c>
      <c r="B995" s="4">
        <v>0</v>
      </c>
      <c r="C995" s="5">
        <v>0</v>
      </c>
      <c r="D995" s="4">
        <v>0</v>
      </c>
      <c r="E995" s="5">
        <v>0</v>
      </c>
      <c r="F995" s="4">
        <v>0</v>
      </c>
      <c r="G995" s="5">
        <v>0</v>
      </c>
      <c r="H995" s="4">
        <v>0</v>
      </c>
    </row>
    <row r="996" spans="1:8" x14ac:dyDescent="0.2">
      <c r="A996" s="2" t="s">
        <v>76</v>
      </c>
      <c r="B996" s="4">
        <v>58</v>
      </c>
      <c r="C996" s="5">
        <v>13.62</v>
      </c>
      <c r="D996" s="4">
        <v>28</v>
      </c>
      <c r="E996" s="5">
        <v>10.69</v>
      </c>
      <c r="F996" s="4">
        <v>30</v>
      </c>
      <c r="G996" s="5">
        <v>18.75</v>
      </c>
      <c r="H996" s="4">
        <v>0</v>
      </c>
    </row>
    <row r="997" spans="1:8" x14ac:dyDescent="0.2">
      <c r="A997" s="2" t="s">
        <v>77</v>
      </c>
      <c r="B997" s="4">
        <v>67</v>
      </c>
      <c r="C997" s="5">
        <v>15.73</v>
      </c>
      <c r="D997" s="4">
        <v>32</v>
      </c>
      <c r="E997" s="5">
        <v>12.21</v>
      </c>
      <c r="F997" s="4">
        <v>34</v>
      </c>
      <c r="G997" s="5">
        <v>21.25</v>
      </c>
      <c r="H997" s="4">
        <v>1</v>
      </c>
    </row>
    <row r="998" spans="1:8" x14ac:dyDescent="0.2">
      <c r="A998" s="2" t="s">
        <v>78</v>
      </c>
      <c r="B998" s="4">
        <v>0</v>
      </c>
      <c r="C998" s="5">
        <v>0</v>
      </c>
      <c r="D998" s="4">
        <v>0</v>
      </c>
      <c r="E998" s="5">
        <v>0</v>
      </c>
      <c r="F998" s="4">
        <v>0</v>
      </c>
      <c r="G998" s="5">
        <v>0</v>
      </c>
      <c r="H998" s="4">
        <v>0</v>
      </c>
    </row>
    <row r="999" spans="1:8" x14ac:dyDescent="0.2">
      <c r="A999" s="2" t="s">
        <v>79</v>
      </c>
      <c r="B999" s="4">
        <v>2</v>
      </c>
      <c r="C999" s="5">
        <v>0.47</v>
      </c>
      <c r="D999" s="4">
        <v>0</v>
      </c>
      <c r="E999" s="5">
        <v>0</v>
      </c>
      <c r="F999" s="4">
        <v>2</v>
      </c>
      <c r="G999" s="5">
        <v>1.25</v>
      </c>
      <c r="H999" s="4">
        <v>0</v>
      </c>
    </row>
    <row r="1000" spans="1:8" x14ac:dyDescent="0.2">
      <c r="A1000" s="2" t="s">
        <v>80</v>
      </c>
      <c r="B1000" s="4">
        <v>3</v>
      </c>
      <c r="C1000" s="5">
        <v>0.7</v>
      </c>
      <c r="D1000" s="4">
        <v>1</v>
      </c>
      <c r="E1000" s="5">
        <v>0.38</v>
      </c>
      <c r="F1000" s="4">
        <v>2</v>
      </c>
      <c r="G1000" s="5">
        <v>1.25</v>
      </c>
      <c r="H1000" s="4">
        <v>0</v>
      </c>
    </row>
    <row r="1001" spans="1:8" x14ac:dyDescent="0.2">
      <c r="A1001" s="2" t="s">
        <v>81</v>
      </c>
      <c r="B1001" s="4">
        <v>109</v>
      </c>
      <c r="C1001" s="5">
        <v>25.59</v>
      </c>
      <c r="D1001" s="4">
        <v>68</v>
      </c>
      <c r="E1001" s="5">
        <v>25.95</v>
      </c>
      <c r="F1001" s="4">
        <v>41</v>
      </c>
      <c r="G1001" s="5">
        <v>25.63</v>
      </c>
      <c r="H1001" s="4">
        <v>0</v>
      </c>
    </row>
    <row r="1002" spans="1:8" x14ac:dyDescent="0.2">
      <c r="A1002" s="2" t="s">
        <v>82</v>
      </c>
      <c r="B1002" s="4">
        <v>2</v>
      </c>
      <c r="C1002" s="5">
        <v>0.47</v>
      </c>
      <c r="D1002" s="4">
        <v>1</v>
      </c>
      <c r="E1002" s="5">
        <v>0.38</v>
      </c>
      <c r="F1002" s="4">
        <v>1</v>
      </c>
      <c r="G1002" s="5">
        <v>0.63</v>
      </c>
      <c r="H1002" s="4">
        <v>0</v>
      </c>
    </row>
    <row r="1003" spans="1:8" x14ac:dyDescent="0.2">
      <c r="A1003" s="2" t="s">
        <v>83</v>
      </c>
      <c r="B1003" s="4">
        <v>21</v>
      </c>
      <c r="C1003" s="5">
        <v>4.93</v>
      </c>
      <c r="D1003" s="4">
        <v>10</v>
      </c>
      <c r="E1003" s="5">
        <v>3.82</v>
      </c>
      <c r="F1003" s="4">
        <v>11</v>
      </c>
      <c r="G1003" s="5">
        <v>6.88</v>
      </c>
      <c r="H1003" s="4">
        <v>0</v>
      </c>
    </row>
    <row r="1004" spans="1:8" x14ac:dyDescent="0.2">
      <c r="A1004" s="2" t="s">
        <v>84</v>
      </c>
      <c r="B1004" s="4">
        <v>11</v>
      </c>
      <c r="C1004" s="5">
        <v>2.58</v>
      </c>
      <c r="D1004" s="4">
        <v>5</v>
      </c>
      <c r="E1004" s="5">
        <v>1.91</v>
      </c>
      <c r="F1004" s="4">
        <v>6</v>
      </c>
      <c r="G1004" s="5">
        <v>3.75</v>
      </c>
      <c r="H1004" s="4">
        <v>0</v>
      </c>
    </row>
    <row r="1005" spans="1:8" x14ac:dyDescent="0.2">
      <c r="A1005" s="2" t="s">
        <v>85</v>
      </c>
      <c r="B1005" s="4">
        <v>31</v>
      </c>
      <c r="C1005" s="5">
        <v>7.28</v>
      </c>
      <c r="D1005" s="4">
        <v>24</v>
      </c>
      <c r="E1005" s="5">
        <v>9.16</v>
      </c>
      <c r="F1005" s="4">
        <v>7</v>
      </c>
      <c r="G1005" s="5">
        <v>4.38</v>
      </c>
      <c r="H1005" s="4">
        <v>0</v>
      </c>
    </row>
    <row r="1006" spans="1:8" x14ac:dyDescent="0.2">
      <c r="A1006" s="2" t="s">
        <v>86</v>
      </c>
      <c r="B1006" s="4">
        <v>54</v>
      </c>
      <c r="C1006" s="5">
        <v>12.68</v>
      </c>
      <c r="D1006" s="4">
        <v>49</v>
      </c>
      <c r="E1006" s="5">
        <v>18.7</v>
      </c>
      <c r="F1006" s="4">
        <v>5</v>
      </c>
      <c r="G1006" s="5">
        <v>3.13</v>
      </c>
      <c r="H1006" s="4">
        <v>0</v>
      </c>
    </row>
    <row r="1007" spans="1:8" x14ac:dyDescent="0.2">
      <c r="A1007" s="2" t="s">
        <v>87</v>
      </c>
      <c r="B1007" s="4">
        <v>11</v>
      </c>
      <c r="C1007" s="5">
        <v>2.58</v>
      </c>
      <c r="D1007" s="4">
        <v>9</v>
      </c>
      <c r="E1007" s="5">
        <v>3.44</v>
      </c>
      <c r="F1007" s="4">
        <v>1</v>
      </c>
      <c r="G1007" s="5">
        <v>0.63</v>
      </c>
      <c r="H1007" s="4">
        <v>0</v>
      </c>
    </row>
    <row r="1008" spans="1:8" x14ac:dyDescent="0.2">
      <c r="A1008" s="2" t="s">
        <v>88</v>
      </c>
      <c r="B1008" s="4">
        <v>24</v>
      </c>
      <c r="C1008" s="5">
        <v>5.63</v>
      </c>
      <c r="D1008" s="4">
        <v>13</v>
      </c>
      <c r="E1008" s="5">
        <v>4.96</v>
      </c>
      <c r="F1008" s="4">
        <v>10</v>
      </c>
      <c r="G1008" s="5">
        <v>6.25</v>
      </c>
      <c r="H1008" s="4">
        <v>0</v>
      </c>
    </row>
    <row r="1009" spans="1:8" x14ac:dyDescent="0.2">
      <c r="A1009" s="2" t="s">
        <v>89</v>
      </c>
      <c r="B1009" s="4">
        <v>33</v>
      </c>
      <c r="C1009" s="5">
        <v>7.75</v>
      </c>
      <c r="D1009" s="4">
        <v>22</v>
      </c>
      <c r="E1009" s="5">
        <v>8.4</v>
      </c>
      <c r="F1009" s="4">
        <v>10</v>
      </c>
      <c r="G1009" s="5">
        <v>6.25</v>
      </c>
      <c r="H1009" s="4">
        <v>1</v>
      </c>
    </row>
    <row r="1010" spans="1:8" x14ac:dyDescent="0.2">
      <c r="A1010" s="1" t="s">
        <v>63</v>
      </c>
      <c r="B1010" s="4">
        <v>192</v>
      </c>
      <c r="C1010" s="5">
        <v>100.02000000000001</v>
      </c>
      <c r="D1010" s="4">
        <v>121</v>
      </c>
      <c r="E1010" s="5">
        <v>100</v>
      </c>
      <c r="F1010" s="4">
        <v>66</v>
      </c>
      <c r="G1010" s="5">
        <v>100.02999999999999</v>
      </c>
      <c r="H1010" s="4">
        <v>0</v>
      </c>
    </row>
    <row r="1011" spans="1:8" x14ac:dyDescent="0.2">
      <c r="A1011" s="2" t="s">
        <v>75</v>
      </c>
      <c r="B1011" s="4">
        <v>0</v>
      </c>
      <c r="C1011" s="5">
        <v>0</v>
      </c>
      <c r="D1011" s="4">
        <v>0</v>
      </c>
      <c r="E1011" s="5">
        <v>0</v>
      </c>
      <c r="F1011" s="4">
        <v>0</v>
      </c>
      <c r="G1011" s="5">
        <v>0</v>
      </c>
      <c r="H1011" s="4">
        <v>0</v>
      </c>
    </row>
    <row r="1012" spans="1:8" x14ac:dyDescent="0.2">
      <c r="A1012" s="2" t="s">
        <v>76</v>
      </c>
      <c r="B1012" s="4">
        <v>33</v>
      </c>
      <c r="C1012" s="5">
        <v>17.190000000000001</v>
      </c>
      <c r="D1012" s="4">
        <v>16</v>
      </c>
      <c r="E1012" s="5">
        <v>13.22</v>
      </c>
      <c r="F1012" s="4">
        <v>17</v>
      </c>
      <c r="G1012" s="5">
        <v>25.76</v>
      </c>
      <c r="H1012" s="4">
        <v>0</v>
      </c>
    </row>
    <row r="1013" spans="1:8" x14ac:dyDescent="0.2">
      <c r="A1013" s="2" t="s">
        <v>77</v>
      </c>
      <c r="B1013" s="4">
        <v>21</v>
      </c>
      <c r="C1013" s="5">
        <v>10.94</v>
      </c>
      <c r="D1013" s="4">
        <v>7</v>
      </c>
      <c r="E1013" s="5">
        <v>5.79</v>
      </c>
      <c r="F1013" s="4">
        <v>14</v>
      </c>
      <c r="G1013" s="5">
        <v>21.21</v>
      </c>
      <c r="H1013" s="4">
        <v>0</v>
      </c>
    </row>
    <row r="1014" spans="1:8" x14ac:dyDescent="0.2">
      <c r="A1014" s="2" t="s">
        <v>78</v>
      </c>
      <c r="B1014" s="4">
        <v>0</v>
      </c>
      <c r="C1014" s="5">
        <v>0</v>
      </c>
      <c r="D1014" s="4">
        <v>0</v>
      </c>
      <c r="E1014" s="5">
        <v>0</v>
      </c>
      <c r="F1014" s="4">
        <v>0</v>
      </c>
      <c r="G1014" s="5">
        <v>0</v>
      </c>
      <c r="H1014" s="4">
        <v>0</v>
      </c>
    </row>
    <row r="1015" spans="1:8" x14ac:dyDescent="0.2">
      <c r="A1015" s="2" t="s">
        <v>79</v>
      </c>
      <c r="B1015" s="4">
        <v>0</v>
      </c>
      <c r="C1015" s="5">
        <v>0</v>
      </c>
      <c r="D1015" s="4">
        <v>0</v>
      </c>
      <c r="E1015" s="5">
        <v>0</v>
      </c>
      <c r="F1015" s="4">
        <v>0</v>
      </c>
      <c r="G1015" s="5">
        <v>0</v>
      </c>
      <c r="H1015" s="4">
        <v>0</v>
      </c>
    </row>
    <row r="1016" spans="1:8" x14ac:dyDescent="0.2">
      <c r="A1016" s="2" t="s">
        <v>80</v>
      </c>
      <c r="B1016" s="4">
        <v>0</v>
      </c>
      <c r="C1016" s="5">
        <v>0</v>
      </c>
      <c r="D1016" s="4">
        <v>0</v>
      </c>
      <c r="E1016" s="5">
        <v>0</v>
      </c>
      <c r="F1016" s="4">
        <v>0</v>
      </c>
      <c r="G1016" s="5">
        <v>0</v>
      </c>
      <c r="H1016" s="4">
        <v>0</v>
      </c>
    </row>
    <row r="1017" spans="1:8" x14ac:dyDescent="0.2">
      <c r="A1017" s="2" t="s">
        <v>81</v>
      </c>
      <c r="B1017" s="4">
        <v>56</v>
      </c>
      <c r="C1017" s="5">
        <v>29.17</v>
      </c>
      <c r="D1017" s="4">
        <v>41</v>
      </c>
      <c r="E1017" s="5">
        <v>33.880000000000003</v>
      </c>
      <c r="F1017" s="4">
        <v>15</v>
      </c>
      <c r="G1017" s="5">
        <v>22.73</v>
      </c>
      <c r="H1017" s="4">
        <v>0</v>
      </c>
    </row>
    <row r="1018" spans="1:8" x14ac:dyDescent="0.2">
      <c r="A1018" s="2" t="s">
        <v>82</v>
      </c>
      <c r="B1018" s="4">
        <v>0</v>
      </c>
      <c r="C1018" s="5">
        <v>0</v>
      </c>
      <c r="D1018" s="4">
        <v>0</v>
      </c>
      <c r="E1018" s="5">
        <v>0</v>
      </c>
      <c r="F1018" s="4">
        <v>0</v>
      </c>
      <c r="G1018" s="5">
        <v>0</v>
      </c>
      <c r="H1018" s="4">
        <v>0</v>
      </c>
    </row>
    <row r="1019" spans="1:8" x14ac:dyDescent="0.2">
      <c r="A1019" s="2" t="s">
        <v>83</v>
      </c>
      <c r="B1019" s="4">
        <v>6</v>
      </c>
      <c r="C1019" s="5">
        <v>3.13</v>
      </c>
      <c r="D1019" s="4">
        <v>2</v>
      </c>
      <c r="E1019" s="5">
        <v>1.65</v>
      </c>
      <c r="F1019" s="4">
        <v>3</v>
      </c>
      <c r="G1019" s="5">
        <v>4.55</v>
      </c>
      <c r="H1019" s="4">
        <v>0</v>
      </c>
    </row>
    <row r="1020" spans="1:8" x14ac:dyDescent="0.2">
      <c r="A1020" s="2" t="s">
        <v>84</v>
      </c>
      <c r="B1020" s="4">
        <v>7</v>
      </c>
      <c r="C1020" s="5">
        <v>3.65</v>
      </c>
      <c r="D1020" s="4">
        <v>4</v>
      </c>
      <c r="E1020" s="5">
        <v>3.31</v>
      </c>
      <c r="F1020" s="4">
        <v>3</v>
      </c>
      <c r="G1020" s="5">
        <v>4.55</v>
      </c>
      <c r="H1020" s="4">
        <v>0</v>
      </c>
    </row>
    <row r="1021" spans="1:8" x14ac:dyDescent="0.2">
      <c r="A1021" s="2" t="s">
        <v>85</v>
      </c>
      <c r="B1021" s="4">
        <v>15</v>
      </c>
      <c r="C1021" s="5">
        <v>7.81</v>
      </c>
      <c r="D1021" s="4">
        <v>11</v>
      </c>
      <c r="E1021" s="5">
        <v>9.09</v>
      </c>
      <c r="F1021" s="4">
        <v>3</v>
      </c>
      <c r="G1021" s="5">
        <v>4.55</v>
      </c>
      <c r="H1021" s="4">
        <v>0</v>
      </c>
    </row>
    <row r="1022" spans="1:8" x14ac:dyDescent="0.2">
      <c r="A1022" s="2" t="s">
        <v>86</v>
      </c>
      <c r="B1022" s="4">
        <v>30</v>
      </c>
      <c r="C1022" s="5">
        <v>15.63</v>
      </c>
      <c r="D1022" s="4">
        <v>27</v>
      </c>
      <c r="E1022" s="5">
        <v>22.31</v>
      </c>
      <c r="F1022" s="4">
        <v>3</v>
      </c>
      <c r="G1022" s="5">
        <v>4.55</v>
      </c>
      <c r="H1022" s="4">
        <v>0</v>
      </c>
    </row>
    <row r="1023" spans="1:8" x14ac:dyDescent="0.2">
      <c r="A1023" s="2" t="s">
        <v>87</v>
      </c>
      <c r="B1023" s="4">
        <v>5</v>
      </c>
      <c r="C1023" s="5">
        <v>2.6</v>
      </c>
      <c r="D1023" s="4">
        <v>1</v>
      </c>
      <c r="E1023" s="5">
        <v>0.83</v>
      </c>
      <c r="F1023" s="4">
        <v>3</v>
      </c>
      <c r="G1023" s="5">
        <v>4.55</v>
      </c>
      <c r="H1023" s="4">
        <v>0</v>
      </c>
    </row>
    <row r="1024" spans="1:8" x14ac:dyDescent="0.2">
      <c r="A1024" s="2" t="s">
        <v>88</v>
      </c>
      <c r="B1024" s="4">
        <v>11</v>
      </c>
      <c r="C1024" s="5">
        <v>5.73</v>
      </c>
      <c r="D1024" s="4">
        <v>5</v>
      </c>
      <c r="E1024" s="5">
        <v>4.13</v>
      </c>
      <c r="F1024" s="4">
        <v>4</v>
      </c>
      <c r="G1024" s="5">
        <v>6.06</v>
      </c>
      <c r="H1024" s="4">
        <v>0</v>
      </c>
    </row>
    <row r="1025" spans="1:8" x14ac:dyDescent="0.2">
      <c r="A1025" s="2" t="s">
        <v>89</v>
      </c>
      <c r="B1025" s="4">
        <v>8</v>
      </c>
      <c r="C1025" s="5">
        <v>4.17</v>
      </c>
      <c r="D1025" s="4">
        <v>7</v>
      </c>
      <c r="E1025" s="5">
        <v>5.79</v>
      </c>
      <c r="F1025" s="4">
        <v>1</v>
      </c>
      <c r="G1025" s="5">
        <v>1.52</v>
      </c>
      <c r="H1025" s="4">
        <v>0</v>
      </c>
    </row>
    <row r="1026" spans="1:8" x14ac:dyDescent="0.2">
      <c r="A1026" s="1" t="s">
        <v>64</v>
      </c>
      <c r="B1026" s="4">
        <v>221</v>
      </c>
      <c r="C1026" s="5">
        <v>100</v>
      </c>
      <c r="D1026" s="4">
        <v>148</v>
      </c>
      <c r="E1026" s="5">
        <v>100</v>
      </c>
      <c r="F1026" s="4">
        <v>67</v>
      </c>
      <c r="G1026" s="5">
        <v>100.00999999999998</v>
      </c>
      <c r="H1026" s="4">
        <v>1</v>
      </c>
    </row>
    <row r="1027" spans="1:8" x14ac:dyDescent="0.2">
      <c r="A1027" s="2" t="s">
        <v>75</v>
      </c>
      <c r="B1027" s="4">
        <v>0</v>
      </c>
      <c r="C1027" s="5">
        <v>0</v>
      </c>
      <c r="D1027" s="4">
        <v>0</v>
      </c>
      <c r="E1027" s="5">
        <v>0</v>
      </c>
      <c r="F1027" s="4">
        <v>0</v>
      </c>
      <c r="G1027" s="5">
        <v>0</v>
      </c>
      <c r="H1027" s="4">
        <v>0</v>
      </c>
    </row>
    <row r="1028" spans="1:8" x14ac:dyDescent="0.2">
      <c r="A1028" s="2" t="s">
        <v>76</v>
      </c>
      <c r="B1028" s="4">
        <v>36</v>
      </c>
      <c r="C1028" s="5">
        <v>16.29</v>
      </c>
      <c r="D1028" s="4">
        <v>8</v>
      </c>
      <c r="E1028" s="5">
        <v>5.41</v>
      </c>
      <c r="F1028" s="4">
        <v>28</v>
      </c>
      <c r="G1028" s="5">
        <v>41.79</v>
      </c>
      <c r="H1028" s="4">
        <v>0</v>
      </c>
    </row>
    <row r="1029" spans="1:8" x14ac:dyDescent="0.2">
      <c r="A1029" s="2" t="s">
        <v>77</v>
      </c>
      <c r="B1029" s="4">
        <v>19</v>
      </c>
      <c r="C1029" s="5">
        <v>8.6</v>
      </c>
      <c r="D1029" s="4">
        <v>12</v>
      </c>
      <c r="E1029" s="5">
        <v>8.11</v>
      </c>
      <c r="F1029" s="4">
        <v>7</v>
      </c>
      <c r="G1029" s="5">
        <v>10.45</v>
      </c>
      <c r="H1029" s="4">
        <v>0</v>
      </c>
    </row>
    <row r="1030" spans="1:8" x14ac:dyDescent="0.2">
      <c r="A1030" s="2" t="s">
        <v>78</v>
      </c>
      <c r="B1030" s="4">
        <v>1</v>
      </c>
      <c r="C1030" s="5">
        <v>0.45</v>
      </c>
      <c r="D1030" s="4">
        <v>0</v>
      </c>
      <c r="E1030" s="5">
        <v>0</v>
      </c>
      <c r="F1030" s="4">
        <v>0</v>
      </c>
      <c r="G1030" s="5">
        <v>0</v>
      </c>
      <c r="H1030" s="4">
        <v>0</v>
      </c>
    </row>
    <row r="1031" spans="1:8" x14ac:dyDescent="0.2">
      <c r="A1031" s="2" t="s">
        <v>79</v>
      </c>
      <c r="B1031" s="4">
        <v>0</v>
      </c>
      <c r="C1031" s="5">
        <v>0</v>
      </c>
      <c r="D1031" s="4">
        <v>0</v>
      </c>
      <c r="E1031" s="5">
        <v>0</v>
      </c>
      <c r="F1031" s="4">
        <v>0</v>
      </c>
      <c r="G1031" s="5">
        <v>0</v>
      </c>
      <c r="H1031" s="4">
        <v>0</v>
      </c>
    </row>
    <row r="1032" spans="1:8" x14ac:dyDescent="0.2">
      <c r="A1032" s="2" t="s">
        <v>80</v>
      </c>
      <c r="B1032" s="4">
        <v>0</v>
      </c>
      <c r="C1032" s="5">
        <v>0</v>
      </c>
      <c r="D1032" s="4">
        <v>0</v>
      </c>
      <c r="E1032" s="5">
        <v>0</v>
      </c>
      <c r="F1032" s="4">
        <v>0</v>
      </c>
      <c r="G1032" s="5">
        <v>0</v>
      </c>
      <c r="H1032" s="4">
        <v>0</v>
      </c>
    </row>
    <row r="1033" spans="1:8" x14ac:dyDescent="0.2">
      <c r="A1033" s="2" t="s">
        <v>81</v>
      </c>
      <c r="B1033" s="4">
        <v>71</v>
      </c>
      <c r="C1033" s="5">
        <v>32.130000000000003</v>
      </c>
      <c r="D1033" s="4">
        <v>62</v>
      </c>
      <c r="E1033" s="5">
        <v>41.89</v>
      </c>
      <c r="F1033" s="4">
        <v>9</v>
      </c>
      <c r="G1033" s="5">
        <v>13.43</v>
      </c>
      <c r="H1033" s="4">
        <v>0</v>
      </c>
    </row>
    <row r="1034" spans="1:8" x14ac:dyDescent="0.2">
      <c r="A1034" s="2" t="s">
        <v>82</v>
      </c>
      <c r="B1034" s="4">
        <v>0</v>
      </c>
      <c r="C1034" s="5">
        <v>0</v>
      </c>
      <c r="D1034" s="4">
        <v>0</v>
      </c>
      <c r="E1034" s="5">
        <v>0</v>
      </c>
      <c r="F1034" s="4">
        <v>0</v>
      </c>
      <c r="G1034" s="5">
        <v>0</v>
      </c>
      <c r="H1034" s="4">
        <v>0</v>
      </c>
    </row>
    <row r="1035" spans="1:8" x14ac:dyDescent="0.2">
      <c r="A1035" s="2" t="s">
        <v>83</v>
      </c>
      <c r="B1035" s="4">
        <v>6</v>
      </c>
      <c r="C1035" s="5">
        <v>2.71</v>
      </c>
      <c r="D1035" s="4">
        <v>3</v>
      </c>
      <c r="E1035" s="5">
        <v>2.0299999999999998</v>
      </c>
      <c r="F1035" s="4">
        <v>2</v>
      </c>
      <c r="G1035" s="5">
        <v>2.99</v>
      </c>
      <c r="H1035" s="4">
        <v>0</v>
      </c>
    </row>
    <row r="1036" spans="1:8" x14ac:dyDescent="0.2">
      <c r="A1036" s="2" t="s">
        <v>84</v>
      </c>
      <c r="B1036" s="4">
        <v>6</v>
      </c>
      <c r="C1036" s="5">
        <v>2.71</v>
      </c>
      <c r="D1036" s="4">
        <v>3</v>
      </c>
      <c r="E1036" s="5">
        <v>2.0299999999999998</v>
      </c>
      <c r="F1036" s="4">
        <v>3</v>
      </c>
      <c r="G1036" s="5">
        <v>4.4800000000000004</v>
      </c>
      <c r="H1036" s="4">
        <v>0</v>
      </c>
    </row>
    <row r="1037" spans="1:8" x14ac:dyDescent="0.2">
      <c r="A1037" s="2" t="s">
        <v>85</v>
      </c>
      <c r="B1037" s="4">
        <v>27</v>
      </c>
      <c r="C1037" s="5">
        <v>12.22</v>
      </c>
      <c r="D1037" s="4">
        <v>21</v>
      </c>
      <c r="E1037" s="5">
        <v>14.19</v>
      </c>
      <c r="F1037" s="4">
        <v>6</v>
      </c>
      <c r="G1037" s="5">
        <v>8.9600000000000009</v>
      </c>
      <c r="H1037" s="4">
        <v>0</v>
      </c>
    </row>
    <row r="1038" spans="1:8" x14ac:dyDescent="0.2">
      <c r="A1038" s="2" t="s">
        <v>86</v>
      </c>
      <c r="B1038" s="4">
        <v>23</v>
      </c>
      <c r="C1038" s="5">
        <v>10.41</v>
      </c>
      <c r="D1038" s="4">
        <v>22</v>
      </c>
      <c r="E1038" s="5">
        <v>14.86</v>
      </c>
      <c r="F1038" s="4">
        <v>1</v>
      </c>
      <c r="G1038" s="5">
        <v>1.49</v>
      </c>
      <c r="H1038" s="4">
        <v>0</v>
      </c>
    </row>
    <row r="1039" spans="1:8" x14ac:dyDescent="0.2">
      <c r="A1039" s="2" t="s">
        <v>87</v>
      </c>
      <c r="B1039" s="4">
        <v>1</v>
      </c>
      <c r="C1039" s="5">
        <v>0.45</v>
      </c>
      <c r="D1039" s="4">
        <v>0</v>
      </c>
      <c r="E1039" s="5">
        <v>0</v>
      </c>
      <c r="F1039" s="4">
        <v>0</v>
      </c>
      <c r="G1039" s="5">
        <v>0</v>
      </c>
      <c r="H1039" s="4">
        <v>0</v>
      </c>
    </row>
    <row r="1040" spans="1:8" x14ac:dyDescent="0.2">
      <c r="A1040" s="2" t="s">
        <v>88</v>
      </c>
      <c r="B1040" s="4">
        <v>19</v>
      </c>
      <c r="C1040" s="5">
        <v>8.6</v>
      </c>
      <c r="D1040" s="4">
        <v>6</v>
      </c>
      <c r="E1040" s="5">
        <v>4.05</v>
      </c>
      <c r="F1040" s="4">
        <v>10</v>
      </c>
      <c r="G1040" s="5">
        <v>14.93</v>
      </c>
      <c r="H1040" s="4">
        <v>1</v>
      </c>
    </row>
    <row r="1041" spans="1:8" x14ac:dyDescent="0.2">
      <c r="A1041" s="2" t="s">
        <v>89</v>
      </c>
      <c r="B1041" s="4">
        <v>12</v>
      </c>
      <c r="C1041" s="5">
        <v>5.43</v>
      </c>
      <c r="D1041" s="4">
        <v>11</v>
      </c>
      <c r="E1041" s="5">
        <v>7.43</v>
      </c>
      <c r="F1041" s="4">
        <v>1</v>
      </c>
      <c r="G1041" s="5">
        <v>1.49</v>
      </c>
      <c r="H1041" s="4">
        <v>0</v>
      </c>
    </row>
    <row r="1042" spans="1:8" x14ac:dyDescent="0.2">
      <c r="A1042" s="1" t="s">
        <v>65</v>
      </c>
      <c r="B1042" s="4">
        <v>101</v>
      </c>
      <c r="C1042" s="5">
        <v>99.99</v>
      </c>
      <c r="D1042" s="4">
        <v>52</v>
      </c>
      <c r="E1042" s="5">
        <v>99.999999999999986</v>
      </c>
      <c r="F1042" s="4">
        <v>45</v>
      </c>
      <c r="G1042" s="5">
        <v>99.99</v>
      </c>
      <c r="H1042" s="4">
        <v>0</v>
      </c>
    </row>
    <row r="1043" spans="1:8" x14ac:dyDescent="0.2">
      <c r="A1043" s="2" t="s">
        <v>75</v>
      </c>
      <c r="B1043" s="4">
        <v>0</v>
      </c>
      <c r="C1043" s="5">
        <v>0</v>
      </c>
      <c r="D1043" s="4">
        <v>0</v>
      </c>
      <c r="E1043" s="5">
        <v>0</v>
      </c>
      <c r="F1043" s="4">
        <v>0</v>
      </c>
      <c r="G1043" s="5">
        <v>0</v>
      </c>
      <c r="H1043" s="4">
        <v>0</v>
      </c>
    </row>
    <row r="1044" spans="1:8" x14ac:dyDescent="0.2">
      <c r="A1044" s="2" t="s">
        <v>76</v>
      </c>
      <c r="B1044" s="4">
        <v>21</v>
      </c>
      <c r="C1044" s="5">
        <v>20.79</v>
      </c>
      <c r="D1044" s="4">
        <v>3</v>
      </c>
      <c r="E1044" s="5">
        <v>5.77</v>
      </c>
      <c r="F1044" s="4">
        <v>18</v>
      </c>
      <c r="G1044" s="5">
        <v>40</v>
      </c>
      <c r="H1044" s="4">
        <v>0</v>
      </c>
    </row>
    <row r="1045" spans="1:8" x14ac:dyDescent="0.2">
      <c r="A1045" s="2" t="s">
        <v>77</v>
      </c>
      <c r="B1045" s="4">
        <v>10</v>
      </c>
      <c r="C1045" s="5">
        <v>9.9</v>
      </c>
      <c r="D1045" s="4">
        <v>1</v>
      </c>
      <c r="E1045" s="5">
        <v>1.92</v>
      </c>
      <c r="F1045" s="4">
        <v>9</v>
      </c>
      <c r="G1045" s="5">
        <v>20</v>
      </c>
      <c r="H1045" s="4">
        <v>0</v>
      </c>
    </row>
    <row r="1046" spans="1:8" x14ac:dyDescent="0.2">
      <c r="A1046" s="2" t="s">
        <v>78</v>
      </c>
      <c r="B1046" s="4">
        <v>1</v>
      </c>
      <c r="C1046" s="5">
        <v>0.99</v>
      </c>
      <c r="D1046" s="4">
        <v>0</v>
      </c>
      <c r="E1046" s="5">
        <v>0</v>
      </c>
      <c r="F1046" s="4">
        <v>0</v>
      </c>
      <c r="G1046" s="5">
        <v>0</v>
      </c>
      <c r="H1046" s="4">
        <v>0</v>
      </c>
    </row>
    <row r="1047" spans="1:8" x14ac:dyDescent="0.2">
      <c r="A1047" s="2" t="s">
        <v>79</v>
      </c>
      <c r="B1047" s="4">
        <v>1</v>
      </c>
      <c r="C1047" s="5">
        <v>0.99</v>
      </c>
      <c r="D1047" s="4">
        <v>0</v>
      </c>
      <c r="E1047" s="5">
        <v>0</v>
      </c>
      <c r="F1047" s="4">
        <v>1</v>
      </c>
      <c r="G1047" s="5">
        <v>2.2200000000000002</v>
      </c>
      <c r="H1047" s="4">
        <v>0</v>
      </c>
    </row>
    <row r="1048" spans="1:8" x14ac:dyDescent="0.2">
      <c r="A1048" s="2" t="s">
        <v>80</v>
      </c>
      <c r="B1048" s="4">
        <v>0</v>
      </c>
      <c r="C1048" s="5">
        <v>0</v>
      </c>
      <c r="D1048" s="4">
        <v>0</v>
      </c>
      <c r="E1048" s="5">
        <v>0</v>
      </c>
      <c r="F1048" s="4">
        <v>0</v>
      </c>
      <c r="G1048" s="5">
        <v>0</v>
      </c>
      <c r="H1048" s="4">
        <v>0</v>
      </c>
    </row>
    <row r="1049" spans="1:8" x14ac:dyDescent="0.2">
      <c r="A1049" s="2" t="s">
        <v>81</v>
      </c>
      <c r="B1049" s="4">
        <v>30</v>
      </c>
      <c r="C1049" s="5">
        <v>29.7</v>
      </c>
      <c r="D1049" s="4">
        <v>20</v>
      </c>
      <c r="E1049" s="5">
        <v>38.46</v>
      </c>
      <c r="F1049" s="4">
        <v>10</v>
      </c>
      <c r="G1049" s="5">
        <v>22.22</v>
      </c>
      <c r="H1049" s="4">
        <v>0</v>
      </c>
    </row>
    <row r="1050" spans="1:8" x14ac:dyDescent="0.2">
      <c r="A1050" s="2" t="s">
        <v>82</v>
      </c>
      <c r="B1050" s="4">
        <v>0</v>
      </c>
      <c r="C1050" s="5">
        <v>0</v>
      </c>
      <c r="D1050" s="4">
        <v>0</v>
      </c>
      <c r="E1050" s="5">
        <v>0</v>
      </c>
      <c r="F1050" s="4">
        <v>0</v>
      </c>
      <c r="G1050" s="5">
        <v>0</v>
      </c>
      <c r="H1050" s="4">
        <v>0</v>
      </c>
    </row>
    <row r="1051" spans="1:8" x14ac:dyDescent="0.2">
      <c r="A1051" s="2" t="s">
        <v>83</v>
      </c>
      <c r="B1051" s="4">
        <v>2</v>
      </c>
      <c r="C1051" s="5">
        <v>1.98</v>
      </c>
      <c r="D1051" s="4">
        <v>1</v>
      </c>
      <c r="E1051" s="5">
        <v>1.92</v>
      </c>
      <c r="F1051" s="4">
        <v>1</v>
      </c>
      <c r="G1051" s="5">
        <v>2.2200000000000002</v>
      </c>
      <c r="H1051" s="4">
        <v>0</v>
      </c>
    </row>
    <row r="1052" spans="1:8" x14ac:dyDescent="0.2">
      <c r="A1052" s="2" t="s">
        <v>84</v>
      </c>
      <c r="B1052" s="4">
        <v>0</v>
      </c>
      <c r="C1052" s="5">
        <v>0</v>
      </c>
      <c r="D1052" s="4">
        <v>0</v>
      </c>
      <c r="E1052" s="5">
        <v>0</v>
      </c>
      <c r="F1052" s="4">
        <v>0</v>
      </c>
      <c r="G1052" s="5">
        <v>0</v>
      </c>
      <c r="H1052" s="4">
        <v>0</v>
      </c>
    </row>
    <row r="1053" spans="1:8" x14ac:dyDescent="0.2">
      <c r="A1053" s="2" t="s">
        <v>85</v>
      </c>
      <c r="B1053" s="4">
        <v>8</v>
      </c>
      <c r="C1053" s="5">
        <v>7.92</v>
      </c>
      <c r="D1053" s="4">
        <v>6</v>
      </c>
      <c r="E1053" s="5">
        <v>11.54</v>
      </c>
      <c r="F1053" s="4">
        <v>2</v>
      </c>
      <c r="G1053" s="5">
        <v>4.4400000000000004</v>
      </c>
      <c r="H1053" s="4">
        <v>0</v>
      </c>
    </row>
    <row r="1054" spans="1:8" x14ac:dyDescent="0.2">
      <c r="A1054" s="2" t="s">
        <v>86</v>
      </c>
      <c r="B1054" s="4">
        <v>16</v>
      </c>
      <c r="C1054" s="5">
        <v>15.84</v>
      </c>
      <c r="D1054" s="4">
        <v>13</v>
      </c>
      <c r="E1054" s="5">
        <v>25</v>
      </c>
      <c r="F1054" s="4">
        <v>3</v>
      </c>
      <c r="G1054" s="5">
        <v>6.67</v>
      </c>
      <c r="H1054" s="4">
        <v>0</v>
      </c>
    </row>
    <row r="1055" spans="1:8" x14ac:dyDescent="0.2">
      <c r="A1055" s="2" t="s">
        <v>87</v>
      </c>
      <c r="B1055" s="4">
        <v>3</v>
      </c>
      <c r="C1055" s="5">
        <v>2.97</v>
      </c>
      <c r="D1055" s="4">
        <v>2</v>
      </c>
      <c r="E1055" s="5">
        <v>3.85</v>
      </c>
      <c r="F1055" s="4">
        <v>0</v>
      </c>
      <c r="G1055" s="5">
        <v>0</v>
      </c>
      <c r="H1055" s="4">
        <v>0</v>
      </c>
    </row>
    <row r="1056" spans="1:8" x14ac:dyDescent="0.2">
      <c r="A1056" s="2" t="s">
        <v>88</v>
      </c>
      <c r="B1056" s="4">
        <v>6</v>
      </c>
      <c r="C1056" s="5">
        <v>5.94</v>
      </c>
      <c r="D1056" s="4">
        <v>3</v>
      </c>
      <c r="E1056" s="5">
        <v>5.77</v>
      </c>
      <c r="F1056" s="4">
        <v>1</v>
      </c>
      <c r="G1056" s="5">
        <v>2.2200000000000002</v>
      </c>
      <c r="H1056" s="4">
        <v>0</v>
      </c>
    </row>
    <row r="1057" spans="1:8" x14ac:dyDescent="0.2">
      <c r="A1057" s="2" t="s">
        <v>89</v>
      </c>
      <c r="B1057" s="4">
        <v>3</v>
      </c>
      <c r="C1057" s="5">
        <v>2.97</v>
      </c>
      <c r="D1057" s="4">
        <v>3</v>
      </c>
      <c r="E1057" s="5">
        <v>5.77</v>
      </c>
      <c r="F1057" s="4">
        <v>0</v>
      </c>
      <c r="G1057" s="5">
        <v>0</v>
      </c>
      <c r="H1057" s="4">
        <v>0</v>
      </c>
    </row>
    <row r="1058" spans="1:8" x14ac:dyDescent="0.2">
      <c r="A1058" s="1" t="s">
        <v>66</v>
      </c>
      <c r="B1058" s="4">
        <v>322</v>
      </c>
      <c r="C1058" s="5">
        <v>100.00000000000001</v>
      </c>
      <c r="D1058" s="4">
        <v>193</v>
      </c>
      <c r="E1058" s="5">
        <v>100.00999999999999</v>
      </c>
      <c r="F1058" s="4">
        <v>127</v>
      </c>
      <c r="G1058" s="5">
        <v>99.98</v>
      </c>
      <c r="H1058" s="4">
        <v>0</v>
      </c>
    </row>
    <row r="1059" spans="1:8" x14ac:dyDescent="0.2">
      <c r="A1059" s="2" t="s">
        <v>75</v>
      </c>
      <c r="B1059" s="4">
        <v>0</v>
      </c>
      <c r="C1059" s="5">
        <v>0</v>
      </c>
      <c r="D1059" s="4">
        <v>0</v>
      </c>
      <c r="E1059" s="5">
        <v>0</v>
      </c>
      <c r="F1059" s="4">
        <v>0</v>
      </c>
      <c r="G1059" s="5">
        <v>0</v>
      </c>
      <c r="H1059" s="4">
        <v>0</v>
      </c>
    </row>
    <row r="1060" spans="1:8" x14ac:dyDescent="0.2">
      <c r="A1060" s="2" t="s">
        <v>76</v>
      </c>
      <c r="B1060" s="4">
        <v>75</v>
      </c>
      <c r="C1060" s="5">
        <v>23.29</v>
      </c>
      <c r="D1060" s="4">
        <v>19</v>
      </c>
      <c r="E1060" s="5">
        <v>9.84</v>
      </c>
      <c r="F1060" s="4">
        <v>56</v>
      </c>
      <c r="G1060" s="5">
        <v>44.09</v>
      </c>
      <c r="H1060" s="4">
        <v>0</v>
      </c>
    </row>
    <row r="1061" spans="1:8" x14ac:dyDescent="0.2">
      <c r="A1061" s="2" t="s">
        <v>77</v>
      </c>
      <c r="B1061" s="4">
        <v>15</v>
      </c>
      <c r="C1061" s="5">
        <v>4.66</v>
      </c>
      <c r="D1061" s="4">
        <v>7</v>
      </c>
      <c r="E1061" s="5">
        <v>3.63</v>
      </c>
      <c r="F1061" s="4">
        <v>8</v>
      </c>
      <c r="G1061" s="5">
        <v>6.3</v>
      </c>
      <c r="H1061" s="4">
        <v>0</v>
      </c>
    </row>
    <row r="1062" spans="1:8" x14ac:dyDescent="0.2">
      <c r="A1062" s="2" t="s">
        <v>78</v>
      </c>
      <c r="B1062" s="4">
        <v>3</v>
      </c>
      <c r="C1062" s="5">
        <v>0.93</v>
      </c>
      <c r="D1062" s="4">
        <v>0</v>
      </c>
      <c r="E1062" s="5">
        <v>0</v>
      </c>
      <c r="F1062" s="4">
        <v>3</v>
      </c>
      <c r="G1062" s="5">
        <v>2.36</v>
      </c>
      <c r="H1062" s="4">
        <v>0</v>
      </c>
    </row>
    <row r="1063" spans="1:8" x14ac:dyDescent="0.2">
      <c r="A1063" s="2" t="s">
        <v>79</v>
      </c>
      <c r="B1063" s="4">
        <v>0</v>
      </c>
      <c r="C1063" s="5">
        <v>0</v>
      </c>
      <c r="D1063" s="4">
        <v>0</v>
      </c>
      <c r="E1063" s="5">
        <v>0</v>
      </c>
      <c r="F1063" s="4">
        <v>0</v>
      </c>
      <c r="G1063" s="5">
        <v>0</v>
      </c>
      <c r="H1063" s="4">
        <v>0</v>
      </c>
    </row>
    <row r="1064" spans="1:8" x14ac:dyDescent="0.2">
      <c r="A1064" s="2" t="s">
        <v>80</v>
      </c>
      <c r="B1064" s="4">
        <v>4</v>
      </c>
      <c r="C1064" s="5">
        <v>1.24</v>
      </c>
      <c r="D1064" s="4">
        <v>0</v>
      </c>
      <c r="E1064" s="5">
        <v>0</v>
      </c>
      <c r="F1064" s="4">
        <v>4</v>
      </c>
      <c r="G1064" s="5">
        <v>3.15</v>
      </c>
      <c r="H1064" s="4">
        <v>0</v>
      </c>
    </row>
    <row r="1065" spans="1:8" x14ac:dyDescent="0.2">
      <c r="A1065" s="2" t="s">
        <v>81</v>
      </c>
      <c r="B1065" s="4">
        <v>86</v>
      </c>
      <c r="C1065" s="5">
        <v>26.71</v>
      </c>
      <c r="D1065" s="4">
        <v>62</v>
      </c>
      <c r="E1065" s="5">
        <v>32.119999999999997</v>
      </c>
      <c r="F1065" s="4">
        <v>24</v>
      </c>
      <c r="G1065" s="5">
        <v>18.899999999999999</v>
      </c>
      <c r="H1065" s="4">
        <v>0</v>
      </c>
    </row>
    <row r="1066" spans="1:8" x14ac:dyDescent="0.2">
      <c r="A1066" s="2" t="s">
        <v>82</v>
      </c>
      <c r="B1066" s="4">
        <v>1</v>
      </c>
      <c r="C1066" s="5">
        <v>0.31</v>
      </c>
      <c r="D1066" s="4">
        <v>1</v>
      </c>
      <c r="E1066" s="5">
        <v>0.52</v>
      </c>
      <c r="F1066" s="4">
        <v>0</v>
      </c>
      <c r="G1066" s="5">
        <v>0</v>
      </c>
      <c r="H1066" s="4">
        <v>0</v>
      </c>
    </row>
    <row r="1067" spans="1:8" x14ac:dyDescent="0.2">
      <c r="A1067" s="2" t="s">
        <v>83</v>
      </c>
      <c r="B1067" s="4">
        <v>14</v>
      </c>
      <c r="C1067" s="5">
        <v>4.3499999999999996</v>
      </c>
      <c r="D1067" s="4">
        <v>7</v>
      </c>
      <c r="E1067" s="5">
        <v>3.63</v>
      </c>
      <c r="F1067" s="4">
        <v>7</v>
      </c>
      <c r="G1067" s="5">
        <v>5.51</v>
      </c>
      <c r="H1067" s="4">
        <v>0</v>
      </c>
    </row>
    <row r="1068" spans="1:8" x14ac:dyDescent="0.2">
      <c r="A1068" s="2" t="s">
        <v>84</v>
      </c>
      <c r="B1068" s="4">
        <v>3</v>
      </c>
      <c r="C1068" s="5">
        <v>0.93</v>
      </c>
      <c r="D1068" s="4">
        <v>1</v>
      </c>
      <c r="E1068" s="5">
        <v>0.52</v>
      </c>
      <c r="F1068" s="4">
        <v>2</v>
      </c>
      <c r="G1068" s="5">
        <v>1.57</v>
      </c>
      <c r="H1068" s="4">
        <v>0</v>
      </c>
    </row>
    <row r="1069" spans="1:8" x14ac:dyDescent="0.2">
      <c r="A1069" s="2" t="s">
        <v>85</v>
      </c>
      <c r="B1069" s="4">
        <v>31</v>
      </c>
      <c r="C1069" s="5">
        <v>9.6300000000000008</v>
      </c>
      <c r="D1069" s="4">
        <v>24</v>
      </c>
      <c r="E1069" s="5">
        <v>12.44</v>
      </c>
      <c r="F1069" s="4">
        <v>6</v>
      </c>
      <c r="G1069" s="5">
        <v>4.72</v>
      </c>
      <c r="H1069" s="4">
        <v>0</v>
      </c>
    </row>
    <row r="1070" spans="1:8" x14ac:dyDescent="0.2">
      <c r="A1070" s="2" t="s">
        <v>86</v>
      </c>
      <c r="B1070" s="4">
        <v>57</v>
      </c>
      <c r="C1070" s="5">
        <v>17.7</v>
      </c>
      <c r="D1070" s="4">
        <v>49</v>
      </c>
      <c r="E1070" s="5">
        <v>25.39</v>
      </c>
      <c r="F1070" s="4">
        <v>7</v>
      </c>
      <c r="G1070" s="5">
        <v>5.51</v>
      </c>
      <c r="H1070" s="4">
        <v>0</v>
      </c>
    </row>
    <row r="1071" spans="1:8" x14ac:dyDescent="0.2">
      <c r="A1071" s="2" t="s">
        <v>87</v>
      </c>
      <c r="B1071" s="4">
        <v>7</v>
      </c>
      <c r="C1071" s="5">
        <v>2.17</v>
      </c>
      <c r="D1071" s="4">
        <v>6</v>
      </c>
      <c r="E1071" s="5">
        <v>3.11</v>
      </c>
      <c r="F1071" s="4">
        <v>1</v>
      </c>
      <c r="G1071" s="5">
        <v>0.79</v>
      </c>
      <c r="H1071" s="4">
        <v>0</v>
      </c>
    </row>
    <row r="1072" spans="1:8" x14ac:dyDescent="0.2">
      <c r="A1072" s="2" t="s">
        <v>88</v>
      </c>
      <c r="B1072" s="4">
        <v>13</v>
      </c>
      <c r="C1072" s="5">
        <v>4.04</v>
      </c>
      <c r="D1072" s="4">
        <v>7</v>
      </c>
      <c r="E1072" s="5">
        <v>3.63</v>
      </c>
      <c r="F1072" s="4">
        <v>6</v>
      </c>
      <c r="G1072" s="5">
        <v>4.72</v>
      </c>
      <c r="H1072" s="4">
        <v>0</v>
      </c>
    </row>
    <row r="1073" spans="1:8" x14ac:dyDescent="0.2">
      <c r="A1073" s="2" t="s">
        <v>89</v>
      </c>
      <c r="B1073" s="4">
        <v>13</v>
      </c>
      <c r="C1073" s="5">
        <v>4.04</v>
      </c>
      <c r="D1073" s="4">
        <v>10</v>
      </c>
      <c r="E1073" s="5">
        <v>5.18</v>
      </c>
      <c r="F1073" s="4">
        <v>3</v>
      </c>
      <c r="G1073" s="5">
        <v>2.36</v>
      </c>
      <c r="H1073" s="4">
        <v>0</v>
      </c>
    </row>
    <row r="1074" spans="1:8" x14ac:dyDescent="0.2">
      <c r="A1074" s="1" t="s">
        <v>67</v>
      </c>
      <c r="B1074" s="4">
        <v>100</v>
      </c>
      <c r="C1074" s="5">
        <v>100</v>
      </c>
      <c r="D1074" s="4">
        <v>57</v>
      </c>
      <c r="E1074" s="5">
        <v>99.99</v>
      </c>
      <c r="F1074" s="4">
        <v>39</v>
      </c>
      <c r="G1074" s="5">
        <v>100</v>
      </c>
      <c r="H1074" s="4">
        <v>0</v>
      </c>
    </row>
    <row r="1075" spans="1:8" x14ac:dyDescent="0.2">
      <c r="A1075" s="2" t="s">
        <v>75</v>
      </c>
      <c r="B1075" s="4">
        <v>0</v>
      </c>
      <c r="C1075" s="5">
        <v>0</v>
      </c>
      <c r="D1075" s="4">
        <v>0</v>
      </c>
      <c r="E1075" s="5">
        <v>0</v>
      </c>
      <c r="F1075" s="4">
        <v>0</v>
      </c>
      <c r="G1075" s="5">
        <v>0</v>
      </c>
      <c r="H1075" s="4">
        <v>0</v>
      </c>
    </row>
    <row r="1076" spans="1:8" x14ac:dyDescent="0.2">
      <c r="A1076" s="2" t="s">
        <v>76</v>
      </c>
      <c r="B1076" s="4">
        <v>38</v>
      </c>
      <c r="C1076" s="5">
        <v>38</v>
      </c>
      <c r="D1076" s="4">
        <v>17</v>
      </c>
      <c r="E1076" s="5">
        <v>29.82</v>
      </c>
      <c r="F1076" s="4">
        <v>21</v>
      </c>
      <c r="G1076" s="5">
        <v>53.85</v>
      </c>
      <c r="H1076" s="4">
        <v>0</v>
      </c>
    </row>
    <row r="1077" spans="1:8" x14ac:dyDescent="0.2">
      <c r="A1077" s="2" t="s">
        <v>77</v>
      </c>
      <c r="B1077" s="4">
        <v>3</v>
      </c>
      <c r="C1077" s="5">
        <v>3</v>
      </c>
      <c r="D1077" s="4">
        <v>1</v>
      </c>
      <c r="E1077" s="5">
        <v>1.75</v>
      </c>
      <c r="F1077" s="4">
        <v>2</v>
      </c>
      <c r="G1077" s="5">
        <v>5.13</v>
      </c>
      <c r="H1077" s="4">
        <v>0</v>
      </c>
    </row>
    <row r="1078" spans="1:8" x14ac:dyDescent="0.2">
      <c r="A1078" s="2" t="s">
        <v>78</v>
      </c>
      <c r="B1078" s="4">
        <v>2</v>
      </c>
      <c r="C1078" s="5">
        <v>2</v>
      </c>
      <c r="D1078" s="4">
        <v>0</v>
      </c>
      <c r="E1078" s="5">
        <v>0</v>
      </c>
      <c r="F1078" s="4">
        <v>0</v>
      </c>
      <c r="G1078" s="5">
        <v>0</v>
      </c>
      <c r="H1078" s="4">
        <v>0</v>
      </c>
    </row>
    <row r="1079" spans="1:8" x14ac:dyDescent="0.2">
      <c r="A1079" s="2" t="s">
        <v>79</v>
      </c>
      <c r="B1079" s="4">
        <v>0</v>
      </c>
      <c r="C1079" s="5">
        <v>0</v>
      </c>
      <c r="D1079" s="4">
        <v>0</v>
      </c>
      <c r="E1079" s="5">
        <v>0</v>
      </c>
      <c r="F1079" s="4">
        <v>0</v>
      </c>
      <c r="G1079" s="5">
        <v>0</v>
      </c>
      <c r="H1079" s="4">
        <v>0</v>
      </c>
    </row>
    <row r="1080" spans="1:8" x14ac:dyDescent="0.2">
      <c r="A1080" s="2" t="s">
        <v>80</v>
      </c>
      <c r="B1080" s="4">
        <v>0</v>
      </c>
      <c r="C1080" s="5">
        <v>0</v>
      </c>
      <c r="D1080" s="4">
        <v>0</v>
      </c>
      <c r="E1080" s="5">
        <v>0</v>
      </c>
      <c r="F1080" s="4">
        <v>0</v>
      </c>
      <c r="G1080" s="5">
        <v>0</v>
      </c>
      <c r="H1080" s="4">
        <v>0</v>
      </c>
    </row>
    <row r="1081" spans="1:8" x14ac:dyDescent="0.2">
      <c r="A1081" s="2" t="s">
        <v>81</v>
      </c>
      <c r="B1081" s="4">
        <v>23</v>
      </c>
      <c r="C1081" s="5">
        <v>23</v>
      </c>
      <c r="D1081" s="4">
        <v>16</v>
      </c>
      <c r="E1081" s="5">
        <v>28.07</v>
      </c>
      <c r="F1081" s="4">
        <v>7</v>
      </c>
      <c r="G1081" s="5">
        <v>17.95</v>
      </c>
      <c r="H1081" s="4">
        <v>0</v>
      </c>
    </row>
    <row r="1082" spans="1:8" x14ac:dyDescent="0.2">
      <c r="A1082" s="2" t="s">
        <v>82</v>
      </c>
      <c r="B1082" s="4">
        <v>0</v>
      </c>
      <c r="C1082" s="5">
        <v>0</v>
      </c>
      <c r="D1082" s="4">
        <v>0</v>
      </c>
      <c r="E1082" s="5">
        <v>0</v>
      </c>
      <c r="F1082" s="4">
        <v>0</v>
      </c>
      <c r="G1082" s="5">
        <v>0</v>
      </c>
      <c r="H1082" s="4">
        <v>0</v>
      </c>
    </row>
    <row r="1083" spans="1:8" x14ac:dyDescent="0.2">
      <c r="A1083" s="2" t="s">
        <v>83</v>
      </c>
      <c r="B1083" s="4">
        <v>2</v>
      </c>
      <c r="C1083" s="5">
        <v>2</v>
      </c>
      <c r="D1083" s="4">
        <v>0</v>
      </c>
      <c r="E1083" s="5">
        <v>0</v>
      </c>
      <c r="F1083" s="4">
        <v>2</v>
      </c>
      <c r="G1083" s="5">
        <v>5.13</v>
      </c>
      <c r="H1083" s="4">
        <v>0</v>
      </c>
    </row>
    <row r="1084" spans="1:8" x14ac:dyDescent="0.2">
      <c r="A1084" s="2" t="s">
        <v>84</v>
      </c>
      <c r="B1084" s="4">
        <v>1</v>
      </c>
      <c r="C1084" s="5">
        <v>1</v>
      </c>
      <c r="D1084" s="4">
        <v>0</v>
      </c>
      <c r="E1084" s="5">
        <v>0</v>
      </c>
      <c r="F1084" s="4">
        <v>1</v>
      </c>
      <c r="G1084" s="5">
        <v>2.56</v>
      </c>
      <c r="H1084" s="4">
        <v>0</v>
      </c>
    </row>
    <row r="1085" spans="1:8" x14ac:dyDescent="0.2">
      <c r="A1085" s="2" t="s">
        <v>85</v>
      </c>
      <c r="B1085" s="4">
        <v>6</v>
      </c>
      <c r="C1085" s="5">
        <v>6</v>
      </c>
      <c r="D1085" s="4">
        <v>5</v>
      </c>
      <c r="E1085" s="5">
        <v>8.77</v>
      </c>
      <c r="F1085" s="4">
        <v>1</v>
      </c>
      <c r="G1085" s="5">
        <v>2.56</v>
      </c>
      <c r="H1085" s="4">
        <v>0</v>
      </c>
    </row>
    <row r="1086" spans="1:8" x14ac:dyDescent="0.2">
      <c r="A1086" s="2" t="s">
        <v>86</v>
      </c>
      <c r="B1086" s="4">
        <v>16</v>
      </c>
      <c r="C1086" s="5">
        <v>16</v>
      </c>
      <c r="D1086" s="4">
        <v>13</v>
      </c>
      <c r="E1086" s="5">
        <v>22.81</v>
      </c>
      <c r="F1086" s="4">
        <v>3</v>
      </c>
      <c r="G1086" s="5">
        <v>7.69</v>
      </c>
      <c r="H1086" s="4">
        <v>0</v>
      </c>
    </row>
    <row r="1087" spans="1:8" x14ac:dyDescent="0.2">
      <c r="A1087" s="2" t="s">
        <v>87</v>
      </c>
      <c r="B1087" s="4">
        <v>1</v>
      </c>
      <c r="C1087" s="5">
        <v>1</v>
      </c>
      <c r="D1087" s="4">
        <v>0</v>
      </c>
      <c r="E1087" s="5">
        <v>0</v>
      </c>
      <c r="F1087" s="4">
        <v>0</v>
      </c>
      <c r="G1087" s="5">
        <v>0</v>
      </c>
      <c r="H1087" s="4">
        <v>0</v>
      </c>
    </row>
    <row r="1088" spans="1:8" x14ac:dyDescent="0.2">
      <c r="A1088" s="2" t="s">
        <v>88</v>
      </c>
      <c r="B1088" s="4">
        <v>4</v>
      </c>
      <c r="C1088" s="5">
        <v>4</v>
      </c>
      <c r="D1088" s="4">
        <v>1</v>
      </c>
      <c r="E1088" s="5">
        <v>1.75</v>
      </c>
      <c r="F1088" s="4">
        <v>2</v>
      </c>
      <c r="G1088" s="5">
        <v>5.13</v>
      </c>
      <c r="H1088" s="4">
        <v>0</v>
      </c>
    </row>
    <row r="1089" spans="1:8" x14ac:dyDescent="0.2">
      <c r="A1089" s="2" t="s">
        <v>89</v>
      </c>
      <c r="B1089" s="4">
        <v>4</v>
      </c>
      <c r="C1089" s="5">
        <v>4</v>
      </c>
      <c r="D1089" s="4">
        <v>4</v>
      </c>
      <c r="E1089" s="5">
        <v>7.02</v>
      </c>
      <c r="F1089" s="4">
        <v>0</v>
      </c>
      <c r="G1089" s="5">
        <v>0</v>
      </c>
      <c r="H1089" s="4">
        <v>0</v>
      </c>
    </row>
    <row r="1090" spans="1:8" x14ac:dyDescent="0.2">
      <c r="A1090" s="1" t="s">
        <v>68</v>
      </c>
      <c r="B1090" s="4">
        <v>74</v>
      </c>
      <c r="C1090" s="5">
        <v>100</v>
      </c>
      <c r="D1090" s="4">
        <v>52</v>
      </c>
      <c r="E1090" s="5">
        <v>99.990000000000009</v>
      </c>
      <c r="F1090" s="4">
        <v>20</v>
      </c>
      <c r="G1090" s="5">
        <v>100</v>
      </c>
      <c r="H1090" s="4">
        <v>0</v>
      </c>
    </row>
    <row r="1091" spans="1:8" x14ac:dyDescent="0.2">
      <c r="A1091" s="2" t="s">
        <v>75</v>
      </c>
      <c r="B1091" s="4">
        <v>0</v>
      </c>
      <c r="C1091" s="5">
        <v>0</v>
      </c>
      <c r="D1091" s="4">
        <v>0</v>
      </c>
      <c r="E1091" s="5">
        <v>0</v>
      </c>
      <c r="F1091" s="4">
        <v>0</v>
      </c>
      <c r="G1091" s="5">
        <v>0</v>
      </c>
      <c r="H1091" s="4">
        <v>0</v>
      </c>
    </row>
    <row r="1092" spans="1:8" x14ac:dyDescent="0.2">
      <c r="A1092" s="2" t="s">
        <v>76</v>
      </c>
      <c r="B1092" s="4">
        <v>22</v>
      </c>
      <c r="C1092" s="5">
        <v>29.73</v>
      </c>
      <c r="D1092" s="4">
        <v>16</v>
      </c>
      <c r="E1092" s="5">
        <v>30.77</v>
      </c>
      <c r="F1092" s="4">
        <v>6</v>
      </c>
      <c r="G1092" s="5">
        <v>30</v>
      </c>
      <c r="H1092" s="4">
        <v>0</v>
      </c>
    </row>
    <row r="1093" spans="1:8" x14ac:dyDescent="0.2">
      <c r="A1093" s="2" t="s">
        <v>77</v>
      </c>
      <c r="B1093" s="4">
        <v>6</v>
      </c>
      <c r="C1093" s="5">
        <v>8.11</v>
      </c>
      <c r="D1093" s="4">
        <v>3</v>
      </c>
      <c r="E1093" s="5">
        <v>5.77</v>
      </c>
      <c r="F1093" s="4">
        <v>3</v>
      </c>
      <c r="G1093" s="5">
        <v>15</v>
      </c>
      <c r="H1093" s="4">
        <v>0</v>
      </c>
    </row>
    <row r="1094" spans="1:8" x14ac:dyDescent="0.2">
      <c r="A1094" s="2" t="s">
        <v>78</v>
      </c>
      <c r="B1094" s="4">
        <v>1</v>
      </c>
      <c r="C1094" s="5">
        <v>1.35</v>
      </c>
      <c r="D1094" s="4">
        <v>0</v>
      </c>
      <c r="E1094" s="5">
        <v>0</v>
      </c>
      <c r="F1094" s="4">
        <v>0</v>
      </c>
      <c r="G1094" s="5">
        <v>0</v>
      </c>
      <c r="H1094" s="4">
        <v>0</v>
      </c>
    </row>
    <row r="1095" spans="1:8" x14ac:dyDescent="0.2">
      <c r="A1095" s="2" t="s">
        <v>79</v>
      </c>
      <c r="B1095" s="4">
        <v>0</v>
      </c>
      <c r="C1095" s="5">
        <v>0</v>
      </c>
      <c r="D1095" s="4">
        <v>0</v>
      </c>
      <c r="E1095" s="5">
        <v>0</v>
      </c>
      <c r="F1095" s="4">
        <v>0</v>
      </c>
      <c r="G1095" s="5">
        <v>0</v>
      </c>
      <c r="H1095" s="4">
        <v>0</v>
      </c>
    </row>
    <row r="1096" spans="1:8" x14ac:dyDescent="0.2">
      <c r="A1096" s="2" t="s">
        <v>80</v>
      </c>
      <c r="B1096" s="4">
        <v>0</v>
      </c>
      <c r="C1096" s="5">
        <v>0</v>
      </c>
      <c r="D1096" s="4">
        <v>0</v>
      </c>
      <c r="E1096" s="5">
        <v>0</v>
      </c>
      <c r="F1096" s="4">
        <v>0</v>
      </c>
      <c r="G1096" s="5">
        <v>0</v>
      </c>
      <c r="H1096" s="4">
        <v>0</v>
      </c>
    </row>
    <row r="1097" spans="1:8" x14ac:dyDescent="0.2">
      <c r="A1097" s="2" t="s">
        <v>81</v>
      </c>
      <c r="B1097" s="4">
        <v>21</v>
      </c>
      <c r="C1097" s="5">
        <v>28.38</v>
      </c>
      <c r="D1097" s="4">
        <v>16</v>
      </c>
      <c r="E1097" s="5">
        <v>30.77</v>
      </c>
      <c r="F1097" s="4">
        <v>5</v>
      </c>
      <c r="G1097" s="5">
        <v>25</v>
      </c>
      <c r="H1097" s="4">
        <v>0</v>
      </c>
    </row>
    <row r="1098" spans="1:8" x14ac:dyDescent="0.2">
      <c r="A1098" s="2" t="s">
        <v>82</v>
      </c>
      <c r="B1098" s="4">
        <v>0</v>
      </c>
      <c r="C1098" s="5">
        <v>0</v>
      </c>
      <c r="D1098" s="4">
        <v>0</v>
      </c>
      <c r="E1098" s="5">
        <v>0</v>
      </c>
      <c r="F1098" s="4">
        <v>0</v>
      </c>
      <c r="G1098" s="5">
        <v>0</v>
      </c>
      <c r="H1098" s="4">
        <v>0</v>
      </c>
    </row>
    <row r="1099" spans="1:8" x14ac:dyDescent="0.2">
      <c r="A1099" s="2" t="s">
        <v>83</v>
      </c>
      <c r="B1099" s="4">
        <v>0</v>
      </c>
      <c r="C1099" s="5">
        <v>0</v>
      </c>
      <c r="D1099" s="4">
        <v>0</v>
      </c>
      <c r="E1099" s="5">
        <v>0</v>
      </c>
      <c r="F1099" s="4">
        <v>0</v>
      </c>
      <c r="G1099" s="5">
        <v>0</v>
      </c>
      <c r="H1099" s="4">
        <v>0</v>
      </c>
    </row>
    <row r="1100" spans="1:8" x14ac:dyDescent="0.2">
      <c r="A1100" s="2" t="s">
        <v>84</v>
      </c>
      <c r="B1100" s="4">
        <v>1</v>
      </c>
      <c r="C1100" s="5">
        <v>1.35</v>
      </c>
      <c r="D1100" s="4">
        <v>1</v>
      </c>
      <c r="E1100" s="5">
        <v>1.92</v>
      </c>
      <c r="F1100" s="4">
        <v>0</v>
      </c>
      <c r="G1100" s="5">
        <v>0</v>
      </c>
      <c r="H1100" s="4">
        <v>0</v>
      </c>
    </row>
    <row r="1101" spans="1:8" x14ac:dyDescent="0.2">
      <c r="A1101" s="2" t="s">
        <v>85</v>
      </c>
      <c r="B1101" s="4">
        <v>9</v>
      </c>
      <c r="C1101" s="5">
        <v>12.16</v>
      </c>
      <c r="D1101" s="4">
        <v>8</v>
      </c>
      <c r="E1101" s="5">
        <v>15.38</v>
      </c>
      <c r="F1101" s="4">
        <v>1</v>
      </c>
      <c r="G1101" s="5">
        <v>5</v>
      </c>
      <c r="H1101" s="4">
        <v>0</v>
      </c>
    </row>
    <row r="1102" spans="1:8" x14ac:dyDescent="0.2">
      <c r="A1102" s="2" t="s">
        <v>86</v>
      </c>
      <c r="B1102" s="4">
        <v>5</v>
      </c>
      <c r="C1102" s="5">
        <v>6.76</v>
      </c>
      <c r="D1102" s="4">
        <v>5</v>
      </c>
      <c r="E1102" s="5">
        <v>9.6199999999999992</v>
      </c>
      <c r="F1102" s="4">
        <v>0</v>
      </c>
      <c r="G1102" s="5">
        <v>0</v>
      </c>
      <c r="H1102" s="4">
        <v>0</v>
      </c>
    </row>
    <row r="1103" spans="1:8" x14ac:dyDescent="0.2">
      <c r="A1103" s="2" t="s">
        <v>87</v>
      </c>
      <c r="B1103" s="4">
        <v>1</v>
      </c>
      <c r="C1103" s="5">
        <v>1.35</v>
      </c>
      <c r="D1103" s="4">
        <v>1</v>
      </c>
      <c r="E1103" s="5">
        <v>1.92</v>
      </c>
      <c r="F1103" s="4">
        <v>0</v>
      </c>
      <c r="G1103" s="5">
        <v>0</v>
      </c>
      <c r="H1103" s="4">
        <v>0</v>
      </c>
    </row>
    <row r="1104" spans="1:8" x14ac:dyDescent="0.2">
      <c r="A1104" s="2" t="s">
        <v>88</v>
      </c>
      <c r="B1104" s="4">
        <v>7</v>
      </c>
      <c r="C1104" s="5">
        <v>9.4600000000000009</v>
      </c>
      <c r="D1104" s="4">
        <v>1</v>
      </c>
      <c r="E1104" s="5">
        <v>1.92</v>
      </c>
      <c r="F1104" s="4">
        <v>5</v>
      </c>
      <c r="G1104" s="5">
        <v>25</v>
      </c>
      <c r="H1104" s="4">
        <v>0</v>
      </c>
    </row>
    <row r="1105" spans="1:8" x14ac:dyDescent="0.2">
      <c r="A1105" s="2" t="s">
        <v>89</v>
      </c>
      <c r="B1105" s="4">
        <v>1</v>
      </c>
      <c r="C1105" s="5">
        <v>1.35</v>
      </c>
      <c r="D1105" s="4">
        <v>1</v>
      </c>
      <c r="E1105" s="5">
        <v>1.92</v>
      </c>
      <c r="F1105" s="4">
        <v>0</v>
      </c>
      <c r="G1105" s="5">
        <v>0</v>
      </c>
      <c r="H1105" s="4">
        <v>0</v>
      </c>
    </row>
    <row r="1106" spans="1:8" x14ac:dyDescent="0.2">
      <c r="A1106" s="1" t="s">
        <v>69</v>
      </c>
      <c r="B1106" s="4">
        <v>398</v>
      </c>
      <c r="C1106" s="5">
        <v>100</v>
      </c>
      <c r="D1106" s="4">
        <v>245</v>
      </c>
      <c r="E1106" s="5">
        <v>100.00999999999999</v>
      </c>
      <c r="F1106" s="4">
        <v>143</v>
      </c>
      <c r="G1106" s="5">
        <v>100.01000000000002</v>
      </c>
      <c r="H1106" s="4">
        <v>1</v>
      </c>
    </row>
    <row r="1107" spans="1:8" x14ac:dyDescent="0.2">
      <c r="A1107" s="2" t="s">
        <v>75</v>
      </c>
      <c r="B1107" s="4">
        <v>0</v>
      </c>
      <c r="C1107" s="5">
        <v>0</v>
      </c>
      <c r="D1107" s="4">
        <v>0</v>
      </c>
      <c r="E1107" s="5">
        <v>0</v>
      </c>
      <c r="F1107" s="4">
        <v>0</v>
      </c>
      <c r="G1107" s="5">
        <v>0</v>
      </c>
      <c r="H1107" s="4">
        <v>0</v>
      </c>
    </row>
    <row r="1108" spans="1:8" x14ac:dyDescent="0.2">
      <c r="A1108" s="2" t="s">
        <v>76</v>
      </c>
      <c r="B1108" s="4">
        <v>98</v>
      </c>
      <c r="C1108" s="5">
        <v>24.62</v>
      </c>
      <c r="D1108" s="4">
        <v>43</v>
      </c>
      <c r="E1108" s="5">
        <v>17.55</v>
      </c>
      <c r="F1108" s="4">
        <v>55</v>
      </c>
      <c r="G1108" s="5">
        <v>38.46</v>
      </c>
      <c r="H1108" s="4">
        <v>0</v>
      </c>
    </row>
    <row r="1109" spans="1:8" x14ac:dyDescent="0.2">
      <c r="A1109" s="2" t="s">
        <v>77</v>
      </c>
      <c r="B1109" s="4">
        <v>33</v>
      </c>
      <c r="C1109" s="5">
        <v>8.2899999999999991</v>
      </c>
      <c r="D1109" s="4">
        <v>15</v>
      </c>
      <c r="E1109" s="5">
        <v>6.12</v>
      </c>
      <c r="F1109" s="4">
        <v>18</v>
      </c>
      <c r="G1109" s="5">
        <v>12.59</v>
      </c>
      <c r="H1109" s="4">
        <v>0</v>
      </c>
    </row>
    <row r="1110" spans="1:8" x14ac:dyDescent="0.2">
      <c r="A1110" s="2" t="s">
        <v>78</v>
      </c>
      <c r="B1110" s="4">
        <v>2</v>
      </c>
      <c r="C1110" s="5">
        <v>0.5</v>
      </c>
      <c r="D1110" s="4">
        <v>0</v>
      </c>
      <c r="E1110" s="5">
        <v>0</v>
      </c>
      <c r="F1110" s="4">
        <v>2</v>
      </c>
      <c r="G1110" s="5">
        <v>1.4</v>
      </c>
      <c r="H1110" s="4">
        <v>0</v>
      </c>
    </row>
    <row r="1111" spans="1:8" x14ac:dyDescent="0.2">
      <c r="A1111" s="2" t="s">
        <v>79</v>
      </c>
      <c r="B1111" s="4">
        <v>3</v>
      </c>
      <c r="C1111" s="5">
        <v>0.75</v>
      </c>
      <c r="D1111" s="4">
        <v>0</v>
      </c>
      <c r="E1111" s="5">
        <v>0</v>
      </c>
      <c r="F1111" s="4">
        <v>3</v>
      </c>
      <c r="G1111" s="5">
        <v>2.1</v>
      </c>
      <c r="H1111" s="4">
        <v>0</v>
      </c>
    </row>
    <row r="1112" spans="1:8" x14ac:dyDescent="0.2">
      <c r="A1112" s="2" t="s">
        <v>80</v>
      </c>
      <c r="B1112" s="4">
        <v>4</v>
      </c>
      <c r="C1112" s="5">
        <v>1.01</v>
      </c>
      <c r="D1112" s="4">
        <v>1</v>
      </c>
      <c r="E1112" s="5">
        <v>0.41</v>
      </c>
      <c r="F1112" s="4">
        <v>3</v>
      </c>
      <c r="G1112" s="5">
        <v>2.1</v>
      </c>
      <c r="H1112" s="4">
        <v>0</v>
      </c>
    </row>
    <row r="1113" spans="1:8" x14ac:dyDescent="0.2">
      <c r="A1113" s="2" t="s">
        <v>81</v>
      </c>
      <c r="B1113" s="4">
        <v>118</v>
      </c>
      <c r="C1113" s="5">
        <v>29.65</v>
      </c>
      <c r="D1113" s="4">
        <v>91</v>
      </c>
      <c r="E1113" s="5">
        <v>37.14</v>
      </c>
      <c r="F1113" s="4">
        <v>27</v>
      </c>
      <c r="G1113" s="5">
        <v>18.88</v>
      </c>
      <c r="H1113" s="4">
        <v>0</v>
      </c>
    </row>
    <row r="1114" spans="1:8" x14ac:dyDescent="0.2">
      <c r="A1114" s="2" t="s">
        <v>82</v>
      </c>
      <c r="B1114" s="4">
        <v>2</v>
      </c>
      <c r="C1114" s="5">
        <v>0.5</v>
      </c>
      <c r="D1114" s="4">
        <v>0</v>
      </c>
      <c r="E1114" s="5">
        <v>0</v>
      </c>
      <c r="F1114" s="4">
        <v>2</v>
      </c>
      <c r="G1114" s="5">
        <v>1.4</v>
      </c>
      <c r="H1114" s="4">
        <v>0</v>
      </c>
    </row>
    <row r="1115" spans="1:8" x14ac:dyDescent="0.2">
      <c r="A1115" s="2" t="s">
        <v>83</v>
      </c>
      <c r="B1115" s="4">
        <v>15</v>
      </c>
      <c r="C1115" s="5">
        <v>3.77</v>
      </c>
      <c r="D1115" s="4">
        <v>2</v>
      </c>
      <c r="E1115" s="5">
        <v>0.82</v>
      </c>
      <c r="F1115" s="4">
        <v>13</v>
      </c>
      <c r="G1115" s="5">
        <v>9.09</v>
      </c>
      <c r="H1115" s="4">
        <v>0</v>
      </c>
    </row>
    <row r="1116" spans="1:8" x14ac:dyDescent="0.2">
      <c r="A1116" s="2" t="s">
        <v>84</v>
      </c>
      <c r="B1116" s="4">
        <v>8</v>
      </c>
      <c r="C1116" s="5">
        <v>2.0099999999999998</v>
      </c>
      <c r="D1116" s="4">
        <v>6</v>
      </c>
      <c r="E1116" s="5">
        <v>2.4500000000000002</v>
      </c>
      <c r="F1116" s="4">
        <v>2</v>
      </c>
      <c r="G1116" s="5">
        <v>1.4</v>
      </c>
      <c r="H1116" s="4">
        <v>0</v>
      </c>
    </row>
    <row r="1117" spans="1:8" x14ac:dyDescent="0.2">
      <c r="A1117" s="2" t="s">
        <v>85</v>
      </c>
      <c r="B1117" s="4">
        <v>25</v>
      </c>
      <c r="C1117" s="5">
        <v>6.28</v>
      </c>
      <c r="D1117" s="4">
        <v>22</v>
      </c>
      <c r="E1117" s="5">
        <v>8.98</v>
      </c>
      <c r="F1117" s="4">
        <v>2</v>
      </c>
      <c r="G1117" s="5">
        <v>1.4</v>
      </c>
      <c r="H1117" s="4">
        <v>0</v>
      </c>
    </row>
    <row r="1118" spans="1:8" x14ac:dyDescent="0.2">
      <c r="A1118" s="2" t="s">
        <v>86</v>
      </c>
      <c r="B1118" s="4">
        <v>44</v>
      </c>
      <c r="C1118" s="5">
        <v>11.06</v>
      </c>
      <c r="D1118" s="4">
        <v>40</v>
      </c>
      <c r="E1118" s="5">
        <v>16.329999999999998</v>
      </c>
      <c r="F1118" s="4">
        <v>4</v>
      </c>
      <c r="G1118" s="5">
        <v>2.8</v>
      </c>
      <c r="H1118" s="4">
        <v>0</v>
      </c>
    </row>
    <row r="1119" spans="1:8" x14ac:dyDescent="0.2">
      <c r="A1119" s="2" t="s">
        <v>87</v>
      </c>
      <c r="B1119" s="4">
        <v>7</v>
      </c>
      <c r="C1119" s="5">
        <v>1.76</v>
      </c>
      <c r="D1119" s="4">
        <v>2</v>
      </c>
      <c r="E1119" s="5">
        <v>0.82</v>
      </c>
      <c r="F1119" s="4">
        <v>1</v>
      </c>
      <c r="G1119" s="5">
        <v>0.7</v>
      </c>
      <c r="H1119" s="4">
        <v>0</v>
      </c>
    </row>
    <row r="1120" spans="1:8" x14ac:dyDescent="0.2">
      <c r="A1120" s="2" t="s">
        <v>88</v>
      </c>
      <c r="B1120" s="4">
        <v>20</v>
      </c>
      <c r="C1120" s="5">
        <v>5.03</v>
      </c>
      <c r="D1120" s="4">
        <v>6</v>
      </c>
      <c r="E1120" s="5">
        <v>2.4500000000000002</v>
      </c>
      <c r="F1120" s="4">
        <v>10</v>
      </c>
      <c r="G1120" s="5">
        <v>6.99</v>
      </c>
      <c r="H1120" s="4">
        <v>1</v>
      </c>
    </row>
    <row r="1121" spans="1:8" x14ac:dyDescent="0.2">
      <c r="A1121" s="2" t="s">
        <v>89</v>
      </c>
      <c r="B1121" s="4">
        <v>19</v>
      </c>
      <c r="C1121" s="5">
        <v>4.7699999999999996</v>
      </c>
      <c r="D1121" s="4">
        <v>17</v>
      </c>
      <c r="E1121" s="5">
        <v>6.94</v>
      </c>
      <c r="F1121" s="4">
        <v>1</v>
      </c>
      <c r="G1121" s="5">
        <v>0.7</v>
      </c>
      <c r="H1121" s="4">
        <v>0</v>
      </c>
    </row>
    <row r="1122" spans="1:8" x14ac:dyDescent="0.2">
      <c r="A1122" s="1" t="s">
        <v>70</v>
      </c>
      <c r="B1122" s="4">
        <v>776</v>
      </c>
      <c r="C1122" s="5">
        <v>100.01000000000002</v>
      </c>
      <c r="D1122" s="4">
        <v>361</v>
      </c>
      <c r="E1122" s="5">
        <v>100.00999999999999</v>
      </c>
      <c r="F1122" s="4">
        <v>404</v>
      </c>
      <c r="G1122" s="5">
        <v>100.00999999999999</v>
      </c>
      <c r="H1122" s="4">
        <v>3</v>
      </c>
    </row>
    <row r="1123" spans="1:8" x14ac:dyDescent="0.2">
      <c r="A1123" s="2" t="s">
        <v>75</v>
      </c>
      <c r="B1123" s="4">
        <v>1</v>
      </c>
      <c r="C1123" s="5">
        <v>0.13</v>
      </c>
      <c r="D1123" s="4">
        <v>0</v>
      </c>
      <c r="E1123" s="5">
        <v>0</v>
      </c>
      <c r="F1123" s="4">
        <v>1</v>
      </c>
      <c r="G1123" s="5">
        <v>0.25</v>
      </c>
      <c r="H1123" s="4">
        <v>0</v>
      </c>
    </row>
    <row r="1124" spans="1:8" x14ac:dyDescent="0.2">
      <c r="A1124" s="2" t="s">
        <v>76</v>
      </c>
      <c r="B1124" s="4">
        <v>107</v>
      </c>
      <c r="C1124" s="5">
        <v>13.79</v>
      </c>
      <c r="D1124" s="4">
        <v>23</v>
      </c>
      <c r="E1124" s="5">
        <v>6.37</v>
      </c>
      <c r="F1124" s="4">
        <v>84</v>
      </c>
      <c r="G1124" s="5">
        <v>20.79</v>
      </c>
      <c r="H1124" s="4">
        <v>0</v>
      </c>
    </row>
    <row r="1125" spans="1:8" x14ac:dyDescent="0.2">
      <c r="A1125" s="2" t="s">
        <v>77</v>
      </c>
      <c r="B1125" s="4">
        <v>55</v>
      </c>
      <c r="C1125" s="5">
        <v>7.09</v>
      </c>
      <c r="D1125" s="4">
        <v>11</v>
      </c>
      <c r="E1125" s="5">
        <v>3.05</v>
      </c>
      <c r="F1125" s="4">
        <v>44</v>
      </c>
      <c r="G1125" s="5">
        <v>10.89</v>
      </c>
      <c r="H1125" s="4">
        <v>0</v>
      </c>
    </row>
    <row r="1126" spans="1:8" x14ac:dyDescent="0.2">
      <c r="A1126" s="2" t="s">
        <v>78</v>
      </c>
      <c r="B1126" s="4">
        <v>4</v>
      </c>
      <c r="C1126" s="5">
        <v>0.52</v>
      </c>
      <c r="D1126" s="4">
        <v>0</v>
      </c>
      <c r="E1126" s="5">
        <v>0</v>
      </c>
      <c r="F1126" s="4">
        <v>3</v>
      </c>
      <c r="G1126" s="5">
        <v>0.74</v>
      </c>
      <c r="H1126" s="4">
        <v>0</v>
      </c>
    </row>
    <row r="1127" spans="1:8" x14ac:dyDescent="0.2">
      <c r="A1127" s="2" t="s">
        <v>79</v>
      </c>
      <c r="B1127" s="4">
        <v>3</v>
      </c>
      <c r="C1127" s="5">
        <v>0.39</v>
      </c>
      <c r="D1127" s="4">
        <v>1</v>
      </c>
      <c r="E1127" s="5">
        <v>0.28000000000000003</v>
      </c>
      <c r="F1127" s="4">
        <v>2</v>
      </c>
      <c r="G1127" s="5">
        <v>0.5</v>
      </c>
      <c r="H1127" s="4">
        <v>0</v>
      </c>
    </row>
    <row r="1128" spans="1:8" x14ac:dyDescent="0.2">
      <c r="A1128" s="2" t="s">
        <v>80</v>
      </c>
      <c r="B1128" s="4">
        <v>26</v>
      </c>
      <c r="C1128" s="5">
        <v>3.35</v>
      </c>
      <c r="D1128" s="4">
        <v>1</v>
      </c>
      <c r="E1128" s="5">
        <v>0.28000000000000003</v>
      </c>
      <c r="F1128" s="4">
        <v>24</v>
      </c>
      <c r="G1128" s="5">
        <v>5.94</v>
      </c>
      <c r="H1128" s="4">
        <v>1</v>
      </c>
    </row>
    <row r="1129" spans="1:8" x14ac:dyDescent="0.2">
      <c r="A1129" s="2" t="s">
        <v>81</v>
      </c>
      <c r="B1129" s="4">
        <v>184</v>
      </c>
      <c r="C1129" s="5">
        <v>23.71</v>
      </c>
      <c r="D1129" s="4">
        <v>71</v>
      </c>
      <c r="E1129" s="5">
        <v>19.670000000000002</v>
      </c>
      <c r="F1129" s="4">
        <v>113</v>
      </c>
      <c r="G1129" s="5">
        <v>27.97</v>
      </c>
      <c r="H1129" s="4">
        <v>0</v>
      </c>
    </row>
    <row r="1130" spans="1:8" x14ac:dyDescent="0.2">
      <c r="A1130" s="2" t="s">
        <v>82</v>
      </c>
      <c r="B1130" s="4">
        <v>7</v>
      </c>
      <c r="C1130" s="5">
        <v>0.9</v>
      </c>
      <c r="D1130" s="4">
        <v>3</v>
      </c>
      <c r="E1130" s="5">
        <v>0.83</v>
      </c>
      <c r="F1130" s="4">
        <v>4</v>
      </c>
      <c r="G1130" s="5">
        <v>0.99</v>
      </c>
      <c r="H1130" s="4">
        <v>0</v>
      </c>
    </row>
    <row r="1131" spans="1:8" x14ac:dyDescent="0.2">
      <c r="A1131" s="2" t="s">
        <v>83</v>
      </c>
      <c r="B1131" s="4">
        <v>56</v>
      </c>
      <c r="C1131" s="5">
        <v>7.22</v>
      </c>
      <c r="D1131" s="4">
        <v>14</v>
      </c>
      <c r="E1131" s="5">
        <v>3.88</v>
      </c>
      <c r="F1131" s="4">
        <v>42</v>
      </c>
      <c r="G1131" s="5">
        <v>10.4</v>
      </c>
      <c r="H1131" s="4">
        <v>0</v>
      </c>
    </row>
    <row r="1132" spans="1:8" x14ac:dyDescent="0.2">
      <c r="A1132" s="2" t="s">
        <v>84</v>
      </c>
      <c r="B1132" s="4">
        <v>19</v>
      </c>
      <c r="C1132" s="5">
        <v>2.4500000000000002</v>
      </c>
      <c r="D1132" s="4">
        <v>13</v>
      </c>
      <c r="E1132" s="5">
        <v>3.6</v>
      </c>
      <c r="F1132" s="4">
        <v>6</v>
      </c>
      <c r="G1132" s="5">
        <v>1.49</v>
      </c>
      <c r="H1132" s="4">
        <v>0</v>
      </c>
    </row>
    <row r="1133" spans="1:8" x14ac:dyDescent="0.2">
      <c r="A1133" s="2" t="s">
        <v>85</v>
      </c>
      <c r="B1133" s="4">
        <v>77</v>
      </c>
      <c r="C1133" s="5">
        <v>9.92</v>
      </c>
      <c r="D1133" s="4">
        <v>67</v>
      </c>
      <c r="E1133" s="5">
        <v>18.559999999999999</v>
      </c>
      <c r="F1133" s="4">
        <v>10</v>
      </c>
      <c r="G1133" s="5">
        <v>2.48</v>
      </c>
      <c r="H1133" s="4">
        <v>0</v>
      </c>
    </row>
    <row r="1134" spans="1:8" x14ac:dyDescent="0.2">
      <c r="A1134" s="2" t="s">
        <v>86</v>
      </c>
      <c r="B1134" s="4">
        <v>104</v>
      </c>
      <c r="C1134" s="5">
        <v>13.4</v>
      </c>
      <c r="D1134" s="4">
        <v>84</v>
      </c>
      <c r="E1134" s="5">
        <v>23.27</v>
      </c>
      <c r="F1134" s="4">
        <v>19</v>
      </c>
      <c r="G1134" s="5">
        <v>4.7</v>
      </c>
      <c r="H1134" s="4">
        <v>0</v>
      </c>
    </row>
    <row r="1135" spans="1:8" x14ac:dyDescent="0.2">
      <c r="A1135" s="2" t="s">
        <v>87</v>
      </c>
      <c r="B1135" s="4">
        <v>41</v>
      </c>
      <c r="C1135" s="5">
        <v>5.28</v>
      </c>
      <c r="D1135" s="4">
        <v>30</v>
      </c>
      <c r="E1135" s="5">
        <v>8.31</v>
      </c>
      <c r="F1135" s="4">
        <v>5</v>
      </c>
      <c r="G1135" s="5">
        <v>1.24</v>
      </c>
      <c r="H1135" s="4">
        <v>2</v>
      </c>
    </row>
    <row r="1136" spans="1:8" x14ac:dyDescent="0.2">
      <c r="A1136" s="2" t="s">
        <v>88</v>
      </c>
      <c r="B1136" s="4">
        <v>46</v>
      </c>
      <c r="C1136" s="5">
        <v>5.93</v>
      </c>
      <c r="D1136" s="4">
        <v>27</v>
      </c>
      <c r="E1136" s="5">
        <v>7.48</v>
      </c>
      <c r="F1136" s="4">
        <v>19</v>
      </c>
      <c r="G1136" s="5">
        <v>4.7</v>
      </c>
      <c r="H1136" s="4">
        <v>0</v>
      </c>
    </row>
    <row r="1137" spans="1:8" x14ac:dyDescent="0.2">
      <c r="A1137" s="2" t="s">
        <v>89</v>
      </c>
      <c r="B1137" s="4">
        <v>46</v>
      </c>
      <c r="C1137" s="5">
        <v>5.93</v>
      </c>
      <c r="D1137" s="4">
        <v>16</v>
      </c>
      <c r="E1137" s="5">
        <v>4.43</v>
      </c>
      <c r="F1137" s="4">
        <v>28</v>
      </c>
      <c r="G1137" s="5">
        <v>6.93</v>
      </c>
      <c r="H1137" s="4">
        <v>0</v>
      </c>
    </row>
    <row r="1138" spans="1:8" x14ac:dyDescent="0.2">
      <c r="A1138" s="1" t="s">
        <v>71</v>
      </c>
      <c r="B1138" s="4">
        <v>379</v>
      </c>
      <c r="C1138" s="5">
        <v>100.00999999999999</v>
      </c>
      <c r="D1138" s="4">
        <v>227</v>
      </c>
      <c r="E1138" s="5">
        <v>99.99</v>
      </c>
      <c r="F1138" s="4">
        <v>138</v>
      </c>
      <c r="G1138" s="5">
        <v>100.00000000000001</v>
      </c>
      <c r="H1138" s="4">
        <v>0</v>
      </c>
    </row>
    <row r="1139" spans="1:8" x14ac:dyDescent="0.2">
      <c r="A1139" s="2" t="s">
        <v>75</v>
      </c>
      <c r="B1139" s="4">
        <v>1</v>
      </c>
      <c r="C1139" s="5">
        <v>0.26</v>
      </c>
      <c r="D1139" s="4">
        <v>0</v>
      </c>
      <c r="E1139" s="5">
        <v>0</v>
      </c>
      <c r="F1139" s="4">
        <v>1</v>
      </c>
      <c r="G1139" s="5">
        <v>0.72</v>
      </c>
      <c r="H1139" s="4">
        <v>0</v>
      </c>
    </row>
    <row r="1140" spans="1:8" x14ac:dyDescent="0.2">
      <c r="A1140" s="2" t="s">
        <v>76</v>
      </c>
      <c r="B1140" s="4">
        <v>95</v>
      </c>
      <c r="C1140" s="5">
        <v>25.07</v>
      </c>
      <c r="D1140" s="4">
        <v>41</v>
      </c>
      <c r="E1140" s="5">
        <v>18.059999999999999</v>
      </c>
      <c r="F1140" s="4">
        <v>54</v>
      </c>
      <c r="G1140" s="5">
        <v>39.130000000000003</v>
      </c>
      <c r="H1140" s="4">
        <v>0</v>
      </c>
    </row>
    <row r="1141" spans="1:8" x14ac:dyDescent="0.2">
      <c r="A1141" s="2" t="s">
        <v>77</v>
      </c>
      <c r="B1141" s="4">
        <v>33</v>
      </c>
      <c r="C1141" s="5">
        <v>8.7100000000000009</v>
      </c>
      <c r="D1141" s="4">
        <v>14</v>
      </c>
      <c r="E1141" s="5">
        <v>6.17</v>
      </c>
      <c r="F1141" s="4">
        <v>19</v>
      </c>
      <c r="G1141" s="5">
        <v>13.77</v>
      </c>
      <c r="H1141" s="4">
        <v>0</v>
      </c>
    </row>
    <row r="1142" spans="1:8" x14ac:dyDescent="0.2">
      <c r="A1142" s="2" t="s">
        <v>78</v>
      </c>
      <c r="B1142" s="4">
        <v>2</v>
      </c>
      <c r="C1142" s="5">
        <v>0.53</v>
      </c>
      <c r="D1142" s="4">
        <v>0</v>
      </c>
      <c r="E1142" s="5">
        <v>0</v>
      </c>
      <c r="F1142" s="4">
        <v>2</v>
      </c>
      <c r="G1142" s="5">
        <v>1.45</v>
      </c>
      <c r="H1142" s="4">
        <v>0</v>
      </c>
    </row>
    <row r="1143" spans="1:8" x14ac:dyDescent="0.2">
      <c r="A1143" s="2" t="s">
        <v>79</v>
      </c>
      <c r="B1143" s="4">
        <v>0</v>
      </c>
      <c r="C1143" s="5">
        <v>0</v>
      </c>
      <c r="D1143" s="4">
        <v>0</v>
      </c>
      <c r="E1143" s="5">
        <v>0</v>
      </c>
      <c r="F1143" s="4">
        <v>0</v>
      </c>
      <c r="G1143" s="5">
        <v>0</v>
      </c>
      <c r="H1143" s="4">
        <v>0</v>
      </c>
    </row>
    <row r="1144" spans="1:8" x14ac:dyDescent="0.2">
      <c r="A1144" s="2" t="s">
        <v>80</v>
      </c>
      <c r="B1144" s="4">
        <v>3</v>
      </c>
      <c r="C1144" s="5">
        <v>0.79</v>
      </c>
      <c r="D1144" s="4">
        <v>0</v>
      </c>
      <c r="E1144" s="5">
        <v>0</v>
      </c>
      <c r="F1144" s="4">
        <v>3</v>
      </c>
      <c r="G1144" s="5">
        <v>2.17</v>
      </c>
      <c r="H1144" s="4">
        <v>0</v>
      </c>
    </row>
    <row r="1145" spans="1:8" x14ac:dyDescent="0.2">
      <c r="A1145" s="2" t="s">
        <v>81</v>
      </c>
      <c r="B1145" s="4">
        <v>80</v>
      </c>
      <c r="C1145" s="5">
        <v>21.11</v>
      </c>
      <c r="D1145" s="4">
        <v>61</v>
      </c>
      <c r="E1145" s="5">
        <v>26.87</v>
      </c>
      <c r="F1145" s="4">
        <v>19</v>
      </c>
      <c r="G1145" s="5">
        <v>13.77</v>
      </c>
      <c r="H1145" s="4">
        <v>0</v>
      </c>
    </row>
    <row r="1146" spans="1:8" x14ac:dyDescent="0.2">
      <c r="A1146" s="2" t="s">
        <v>82</v>
      </c>
      <c r="B1146" s="4">
        <v>0</v>
      </c>
      <c r="C1146" s="5">
        <v>0</v>
      </c>
      <c r="D1146" s="4">
        <v>0</v>
      </c>
      <c r="E1146" s="5">
        <v>0</v>
      </c>
      <c r="F1146" s="4">
        <v>0</v>
      </c>
      <c r="G1146" s="5">
        <v>0</v>
      </c>
      <c r="H1146" s="4">
        <v>0</v>
      </c>
    </row>
    <row r="1147" spans="1:8" x14ac:dyDescent="0.2">
      <c r="A1147" s="2" t="s">
        <v>83</v>
      </c>
      <c r="B1147" s="4">
        <v>7</v>
      </c>
      <c r="C1147" s="5">
        <v>1.85</v>
      </c>
      <c r="D1147" s="4">
        <v>1</v>
      </c>
      <c r="E1147" s="5">
        <v>0.44</v>
      </c>
      <c r="F1147" s="4">
        <v>6</v>
      </c>
      <c r="G1147" s="5">
        <v>4.3499999999999996</v>
      </c>
      <c r="H1147" s="4">
        <v>0</v>
      </c>
    </row>
    <row r="1148" spans="1:8" x14ac:dyDescent="0.2">
      <c r="A1148" s="2" t="s">
        <v>84</v>
      </c>
      <c r="B1148" s="4">
        <v>19</v>
      </c>
      <c r="C1148" s="5">
        <v>5.01</v>
      </c>
      <c r="D1148" s="4">
        <v>7</v>
      </c>
      <c r="E1148" s="5">
        <v>3.08</v>
      </c>
      <c r="F1148" s="4">
        <v>12</v>
      </c>
      <c r="G1148" s="5">
        <v>8.6999999999999993</v>
      </c>
      <c r="H1148" s="4">
        <v>0</v>
      </c>
    </row>
    <row r="1149" spans="1:8" x14ac:dyDescent="0.2">
      <c r="A1149" s="2" t="s">
        <v>85</v>
      </c>
      <c r="B1149" s="4">
        <v>30</v>
      </c>
      <c r="C1149" s="5">
        <v>7.92</v>
      </c>
      <c r="D1149" s="4">
        <v>25</v>
      </c>
      <c r="E1149" s="5">
        <v>11.01</v>
      </c>
      <c r="F1149" s="4">
        <v>5</v>
      </c>
      <c r="G1149" s="5">
        <v>3.62</v>
      </c>
      <c r="H1149" s="4">
        <v>0</v>
      </c>
    </row>
    <row r="1150" spans="1:8" x14ac:dyDescent="0.2">
      <c r="A1150" s="2" t="s">
        <v>86</v>
      </c>
      <c r="B1150" s="4">
        <v>60</v>
      </c>
      <c r="C1150" s="5">
        <v>15.83</v>
      </c>
      <c r="D1150" s="4">
        <v>50</v>
      </c>
      <c r="E1150" s="5">
        <v>22.03</v>
      </c>
      <c r="F1150" s="4">
        <v>4</v>
      </c>
      <c r="G1150" s="5">
        <v>2.9</v>
      </c>
      <c r="H1150" s="4">
        <v>0</v>
      </c>
    </row>
    <row r="1151" spans="1:8" x14ac:dyDescent="0.2">
      <c r="A1151" s="2" t="s">
        <v>87</v>
      </c>
      <c r="B1151" s="4">
        <v>15</v>
      </c>
      <c r="C1151" s="5">
        <v>3.96</v>
      </c>
      <c r="D1151" s="4">
        <v>9</v>
      </c>
      <c r="E1151" s="5">
        <v>3.96</v>
      </c>
      <c r="F1151" s="4">
        <v>0</v>
      </c>
      <c r="G1151" s="5">
        <v>0</v>
      </c>
      <c r="H1151" s="4">
        <v>0</v>
      </c>
    </row>
    <row r="1152" spans="1:8" x14ac:dyDescent="0.2">
      <c r="A1152" s="2" t="s">
        <v>88</v>
      </c>
      <c r="B1152" s="4">
        <v>24</v>
      </c>
      <c r="C1152" s="5">
        <v>6.33</v>
      </c>
      <c r="D1152" s="4">
        <v>12</v>
      </c>
      <c r="E1152" s="5">
        <v>5.29</v>
      </c>
      <c r="F1152" s="4">
        <v>11</v>
      </c>
      <c r="G1152" s="5">
        <v>7.97</v>
      </c>
      <c r="H1152" s="4">
        <v>0</v>
      </c>
    </row>
    <row r="1153" spans="1:8" x14ac:dyDescent="0.2">
      <c r="A1153" s="2" t="s">
        <v>89</v>
      </c>
      <c r="B1153" s="4">
        <v>10</v>
      </c>
      <c r="C1153" s="5">
        <v>2.64</v>
      </c>
      <c r="D1153" s="4">
        <v>7</v>
      </c>
      <c r="E1153" s="5">
        <v>3.08</v>
      </c>
      <c r="F1153" s="4">
        <v>2</v>
      </c>
      <c r="G1153" s="5">
        <v>1.45</v>
      </c>
      <c r="H1153" s="4">
        <v>0</v>
      </c>
    </row>
    <row r="1154" spans="1:8" x14ac:dyDescent="0.2">
      <c r="A1154" s="1" t="s">
        <v>72</v>
      </c>
      <c r="B1154" s="4">
        <v>112</v>
      </c>
      <c r="C1154" s="5">
        <v>100.00000000000001</v>
      </c>
      <c r="D1154" s="4">
        <v>75</v>
      </c>
      <c r="E1154" s="5">
        <v>100</v>
      </c>
      <c r="F1154" s="4">
        <v>37</v>
      </c>
      <c r="G1154" s="5">
        <v>99.980000000000018</v>
      </c>
      <c r="H1154" s="4">
        <v>0</v>
      </c>
    </row>
    <row r="1155" spans="1:8" x14ac:dyDescent="0.2">
      <c r="A1155" s="2" t="s">
        <v>75</v>
      </c>
      <c r="B1155" s="4">
        <v>0</v>
      </c>
      <c r="C1155" s="5">
        <v>0</v>
      </c>
      <c r="D1155" s="4">
        <v>0</v>
      </c>
      <c r="E1155" s="5">
        <v>0</v>
      </c>
      <c r="F1155" s="4">
        <v>0</v>
      </c>
      <c r="G1155" s="5">
        <v>0</v>
      </c>
      <c r="H1155" s="4">
        <v>0</v>
      </c>
    </row>
    <row r="1156" spans="1:8" x14ac:dyDescent="0.2">
      <c r="A1156" s="2" t="s">
        <v>76</v>
      </c>
      <c r="B1156" s="4">
        <v>22</v>
      </c>
      <c r="C1156" s="5">
        <v>19.64</v>
      </c>
      <c r="D1156" s="4">
        <v>6</v>
      </c>
      <c r="E1156" s="5">
        <v>8</v>
      </c>
      <c r="F1156" s="4">
        <v>16</v>
      </c>
      <c r="G1156" s="5">
        <v>43.24</v>
      </c>
      <c r="H1156" s="4">
        <v>0</v>
      </c>
    </row>
    <row r="1157" spans="1:8" x14ac:dyDescent="0.2">
      <c r="A1157" s="2" t="s">
        <v>77</v>
      </c>
      <c r="B1157" s="4">
        <v>7</v>
      </c>
      <c r="C1157" s="5">
        <v>6.25</v>
      </c>
      <c r="D1157" s="4">
        <v>4</v>
      </c>
      <c r="E1157" s="5">
        <v>5.33</v>
      </c>
      <c r="F1157" s="4">
        <v>3</v>
      </c>
      <c r="G1157" s="5">
        <v>8.11</v>
      </c>
      <c r="H1157" s="4">
        <v>0</v>
      </c>
    </row>
    <row r="1158" spans="1:8" x14ac:dyDescent="0.2">
      <c r="A1158" s="2" t="s">
        <v>78</v>
      </c>
      <c r="B1158" s="4">
        <v>0</v>
      </c>
      <c r="C1158" s="5">
        <v>0</v>
      </c>
      <c r="D1158" s="4">
        <v>0</v>
      </c>
      <c r="E1158" s="5">
        <v>0</v>
      </c>
      <c r="F1158" s="4">
        <v>0</v>
      </c>
      <c r="G1158" s="5">
        <v>0</v>
      </c>
      <c r="H1158" s="4">
        <v>0</v>
      </c>
    </row>
    <row r="1159" spans="1:8" x14ac:dyDescent="0.2">
      <c r="A1159" s="2" t="s">
        <v>79</v>
      </c>
      <c r="B1159" s="4">
        <v>0</v>
      </c>
      <c r="C1159" s="5">
        <v>0</v>
      </c>
      <c r="D1159" s="4">
        <v>0</v>
      </c>
      <c r="E1159" s="5">
        <v>0</v>
      </c>
      <c r="F1159" s="4">
        <v>0</v>
      </c>
      <c r="G1159" s="5">
        <v>0</v>
      </c>
      <c r="H1159" s="4">
        <v>0</v>
      </c>
    </row>
    <row r="1160" spans="1:8" x14ac:dyDescent="0.2">
      <c r="A1160" s="2" t="s">
        <v>80</v>
      </c>
      <c r="B1160" s="4">
        <v>1</v>
      </c>
      <c r="C1160" s="5">
        <v>0.89</v>
      </c>
      <c r="D1160" s="4">
        <v>0</v>
      </c>
      <c r="E1160" s="5">
        <v>0</v>
      </c>
      <c r="F1160" s="4">
        <v>1</v>
      </c>
      <c r="G1160" s="5">
        <v>2.7</v>
      </c>
      <c r="H1160" s="4">
        <v>0</v>
      </c>
    </row>
    <row r="1161" spans="1:8" x14ac:dyDescent="0.2">
      <c r="A1161" s="2" t="s">
        <v>81</v>
      </c>
      <c r="B1161" s="4">
        <v>24</v>
      </c>
      <c r="C1161" s="5">
        <v>21.43</v>
      </c>
      <c r="D1161" s="4">
        <v>16</v>
      </c>
      <c r="E1161" s="5">
        <v>21.33</v>
      </c>
      <c r="F1161" s="4">
        <v>8</v>
      </c>
      <c r="G1161" s="5">
        <v>21.62</v>
      </c>
      <c r="H1161" s="4">
        <v>0</v>
      </c>
    </row>
    <row r="1162" spans="1:8" x14ac:dyDescent="0.2">
      <c r="A1162" s="2" t="s">
        <v>82</v>
      </c>
      <c r="B1162" s="4">
        <v>1</v>
      </c>
      <c r="C1162" s="5">
        <v>0.89</v>
      </c>
      <c r="D1162" s="4">
        <v>0</v>
      </c>
      <c r="E1162" s="5">
        <v>0</v>
      </c>
      <c r="F1162" s="4">
        <v>1</v>
      </c>
      <c r="G1162" s="5">
        <v>2.7</v>
      </c>
      <c r="H1162" s="4">
        <v>0</v>
      </c>
    </row>
    <row r="1163" spans="1:8" x14ac:dyDescent="0.2">
      <c r="A1163" s="2" t="s">
        <v>83</v>
      </c>
      <c r="B1163" s="4">
        <v>16</v>
      </c>
      <c r="C1163" s="5">
        <v>14.29</v>
      </c>
      <c r="D1163" s="4">
        <v>12</v>
      </c>
      <c r="E1163" s="5">
        <v>16</v>
      </c>
      <c r="F1163" s="4">
        <v>4</v>
      </c>
      <c r="G1163" s="5">
        <v>10.81</v>
      </c>
      <c r="H1163" s="4">
        <v>0</v>
      </c>
    </row>
    <row r="1164" spans="1:8" x14ac:dyDescent="0.2">
      <c r="A1164" s="2" t="s">
        <v>84</v>
      </c>
      <c r="B1164" s="4">
        <v>3</v>
      </c>
      <c r="C1164" s="5">
        <v>2.68</v>
      </c>
      <c r="D1164" s="4">
        <v>2</v>
      </c>
      <c r="E1164" s="5">
        <v>2.67</v>
      </c>
      <c r="F1164" s="4">
        <v>1</v>
      </c>
      <c r="G1164" s="5">
        <v>2.7</v>
      </c>
      <c r="H1164" s="4">
        <v>0</v>
      </c>
    </row>
    <row r="1165" spans="1:8" x14ac:dyDescent="0.2">
      <c r="A1165" s="2" t="s">
        <v>85</v>
      </c>
      <c r="B1165" s="4">
        <v>7</v>
      </c>
      <c r="C1165" s="5">
        <v>6.25</v>
      </c>
      <c r="D1165" s="4">
        <v>6</v>
      </c>
      <c r="E1165" s="5">
        <v>8</v>
      </c>
      <c r="F1165" s="4">
        <v>1</v>
      </c>
      <c r="G1165" s="5">
        <v>2.7</v>
      </c>
      <c r="H1165" s="4">
        <v>0</v>
      </c>
    </row>
    <row r="1166" spans="1:8" x14ac:dyDescent="0.2">
      <c r="A1166" s="2" t="s">
        <v>86</v>
      </c>
      <c r="B1166" s="4">
        <v>21</v>
      </c>
      <c r="C1166" s="5">
        <v>18.75</v>
      </c>
      <c r="D1166" s="4">
        <v>20</v>
      </c>
      <c r="E1166" s="5">
        <v>26.67</v>
      </c>
      <c r="F1166" s="4">
        <v>1</v>
      </c>
      <c r="G1166" s="5">
        <v>2.7</v>
      </c>
      <c r="H1166" s="4">
        <v>0</v>
      </c>
    </row>
    <row r="1167" spans="1:8" x14ac:dyDescent="0.2">
      <c r="A1167" s="2" t="s">
        <v>87</v>
      </c>
      <c r="B1167" s="4">
        <v>2</v>
      </c>
      <c r="C1167" s="5">
        <v>1.79</v>
      </c>
      <c r="D1167" s="4">
        <v>2</v>
      </c>
      <c r="E1167" s="5">
        <v>2.67</v>
      </c>
      <c r="F1167" s="4">
        <v>0</v>
      </c>
      <c r="G1167" s="5">
        <v>0</v>
      </c>
      <c r="H1167" s="4">
        <v>0</v>
      </c>
    </row>
    <row r="1168" spans="1:8" x14ac:dyDescent="0.2">
      <c r="A1168" s="2" t="s">
        <v>88</v>
      </c>
      <c r="B1168" s="4">
        <v>5</v>
      </c>
      <c r="C1168" s="5">
        <v>4.46</v>
      </c>
      <c r="D1168" s="4">
        <v>4</v>
      </c>
      <c r="E1168" s="5">
        <v>5.33</v>
      </c>
      <c r="F1168" s="4">
        <v>1</v>
      </c>
      <c r="G1168" s="5">
        <v>2.7</v>
      </c>
      <c r="H1168" s="4">
        <v>0</v>
      </c>
    </row>
    <row r="1169" spans="1:8" x14ac:dyDescent="0.2">
      <c r="A1169" s="2" t="s">
        <v>89</v>
      </c>
      <c r="B1169" s="4">
        <v>3</v>
      </c>
      <c r="C1169" s="5">
        <v>2.68</v>
      </c>
      <c r="D1169" s="4">
        <v>3</v>
      </c>
      <c r="E1169" s="5">
        <v>4</v>
      </c>
      <c r="F1169" s="4">
        <v>0</v>
      </c>
      <c r="G1169" s="5">
        <v>0</v>
      </c>
      <c r="H1169" s="4">
        <v>0</v>
      </c>
    </row>
    <row r="1170" spans="1:8" x14ac:dyDescent="0.2">
      <c r="A1170" s="1" t="s">
        <v>73</v>
      </c>
      <c r="B1170" s="4">
        <v>111</v>
      </c>
      <c r="C1170" s="5">
        <v>99.99</v>
      </c>
      <c r="D1170" s="4">
        <v>66</v>
      </c>
      <c r="E1170" s="5">
        <v>100.01</v>
      </c>
      <c r="F1170" s="4">
        <v>43</v>
      </c>
      <c r="G1170" s="5">
        <v>100.00000000000001</v>
      </c>
      <c r="H1170" s="4">
        <v>0</v>
      </c>
    </row>
    <row r="1171" spans="1:8" x14ac:dyDescent="0.2">
      <c r="A1171" s="2" t="s">
        <v>75</v>
      </c>
      <c r="B1171" s="4">
        <v>0</v>
      </c>
      <c r="C1171" s="5">
        <v>0</v>
      </c>
      <c r="D1171" s="4">
        <v>0</v>
      </c>
      <c r="E1171" s="5">
        <v>0</v>
      </c>
      <c r="F1171" s="4">
        <v>0</v>
      </c>
      <c r="G1171" s="5">
        <v>0</v>
      </c>
      <c r="H1171" s="4">
        <v>0</v>
      </c>
    </row>
    <row r="1172" spans="1:8" x14ac:dyDescent="0.2">
      <c r="A1172" s="2" t="s">
        <v>76</v>
      </c>
      <c r="B1172" s="4">
        <v>29</v>
      </c>
      <c r="C1172" s="5">
        <v>26.13</v>
      </c>
      <c r="D1172" s="4">
        <v>14</v>
      </c>
      <c r="E1172" s="5">
        <v>21.21</v>
      </c>
      <c r="F1172" s="4">
        <v>15</v>
      </c>
      <c r="G1172" s="5">
        <v>34.880000000000003</v>
      </c>
      <c r="H1172" s="4">
        <v>0</v>
      </c>
    </row>
    <row r="1173" spans="1:8" x14ac:dyDescent="0.2">
      <c r="A1173" s="2" t="s">
        <v>77</v>
      </c>
      <c r="B1173" s="4">
        <v>5</v>
      </c>
      <c r="C1173" s="5">
        <v>4.5</v>
      </c>
      <c r="D1173" s="4">
        <v>0</v>
      </c>
      <c r="E1173" s="5">
        <v>0</v>
      </c>
      <c r="F1173" s="4">
        <v>5</v>
      </c>
      <c r="G1173" s="5">
        <v>11.63</v>
      </c>
      <c r="H1173" s="4">
        <v>0</v>
      </c>
    </row>
    <row r="1174" spans="1:8" x14ac:dyDescent="0.2">
      <c r="A1174" s="2" t="s">
        <v>78</v>
      </c>
      <c r="B1174" s="4">
        <v>0</v>
      </c>
      <c r="C1174" s="5">
        <v>0</v>
      </c>
      <c r="D1174" s="4">
        <v>0</v>
      </c>
      <c r="E1174" s="5">
        <v>0</v>
      </c>
      <c r="F1174" s="4">
        <v>0</v>
      </c>
      <c r="G1174" s="5">
        <v>0</v>
      </c>
      <c r="H1174" s="4">
        <v>0</v>
      </c>
    </row>
    <row r="1175" spans="1:8" x14ac:dyDescent="0.2">
      <c r="A1175" s="2" t="s">
        <v>79</v>
      </c>
      <c r="B1175" s="4">
        <v>0</v>
      </c>
      <c r="C1175" s="5">
        <v>0</v>
      </c>
      <c r="D1175" s="4">
        <v>0</v>
      </c>
      <c r="E1175" s="5">
        <v>0</v>
      </c>
      <c r="F1175" s="4">
        <v>0</v>
      </c>
      <c r="G1175" s="5">
        <v>0</v>
      </c>
      <c r="H1175" s="4">
        <v>0</v>
      </c>
    </row>
    <row r="1176" spans="1:8" x14ac:dyDescent="0.2">
      <c r="A1176" s="2" t="s">
        <v>80</v>
      </c>
      <c r="B1176" s="4">
        <v>1</v>
      </c>
      <c r="C1176" s="5">
        <v>0.9</v>
      </c>
      <c r="D1176" s="4">
        <v>1</v>
      </c>
      <c r="E1176" s="5">
        <v>1.52</v>
      </c>
      <c r="F1176" s="4">
        <v>0</v>
      </c>
      <c r="G1176" s="5">
        <v>0</v>
      </c>
      <c r="H1176" s="4">
        <v>0</v>
      </c>
    </row>
    <row r="1177" spans="1:8" x14ac:dyDescent="0.2">
      <c r="A1177" s="2" t="s">
        <v>81</v>
      </c>
      <c r="B1177" s="4">
        <v>37</v>
      </c>
      <c r="C1177" s="5">
        <v>33.33</v>
      </c>
      <c r="D1177" s="4">
        <v>26</v>
      </c>
      <c r="E1177" s="5">
        <v>39.39</v>
      </c>
      <c r="F1177" s="4">
        <v>11</v>
      </c>
      <c r="G1177" s="5">
        <v>25.58</v>
      </c>
      <c r="H1177" s="4">
        <v>0</v>
      </c>
    </row>
    <row r="1178" spans="1:8" x14ac:dyDescent="0.2">
      <c r="A1178" s="2" t="s">
        <v>82</v>
      </c>
      <c r="B1178" s="4">
        <v>0</v>
      </c>
      <c r="C1178" s="5">
        <v>0</v>
      </c>
      <c r="D1178" s="4">
        <v>0</v>
      </c>
      <c r="E1178" s="5">
        <v>0</v>
      </c>
      <c r="F1178" s="4">
        <v>0</v>
      </c>
      <c r="G1178" s="5">
        <v>0</v>
      </c>
      <c r="H1178" s="4">
        <v>0</v>
      </c>
    </row>
    <row r="1179" spans="1:8" x14ac:dyDescent="0.2">
      <c r="A1179" s="2" t="s">
        <v>83</v>
      </c>
      <c r="B1179" s="4">
        <v>4</v>
      </c>
      <c r="C1179" s="5">
        <v>3.6</v>
      </c>
      <c r="D1179" s="4">
        <v>1</v>
      </c>
      <c r="E1179" s="5">
        <v>1.52</v>
      </c>
      <c r="F1179" s="4">
        <v>3</v>
      </c>
      <c r="G1179" s="5">
        <v>6.98</v>
      </c>
      <c r="H1179" s="4">
        <v>0</v>
      </c>
    </row>
    <row r="1180" spans="1:8" x14ac:dyDescent="0.2">
      <c r="A1180" s="2" t="s">
        <v>84</v>
      </c>
      <c r="B1180" s="4">
        <v>1</v>
      </c>
      <c r="C1180" s="5">
        <v>0.9</v>
      </c>
      <c r="D1180" s="4">
        <v>0</v>
      </c>
      <c r="E1180" s="5">
        <v>0</v>
      </c>
      <c r="F1180" s="4">
        <v>1</v>
      </c>
      <c r="G1180" s="5">
        <v>2.33</v>
      </c>
      <c r="H1180" s="4">
        <v>0</v>
      </c>
    </row>
    <row r="1181" spans="1:8" x14ac:dyDescent="0.2">
      <c r="A1181" s="2" t="s">
        <v>85</v>
      </c>
      <c r="B1181" s="4">
        <v>5</v>
      </c>
      <c r="C1181" s="5">
        <v>4.5</v>
      </c>
      <c r="D1181" s="4">
        <v>3</v>
      </c>
      <c r="E1181" s="5">
        <v>4.55</v>
      </c>
      <c r="F1181" s="4">
        <v>2</v>
      </c>
      <c r="G1181" s="5">
        <v>4.6500000000000004</v>
      </c>
      <c r="H1181" s="4">
        <v>0</v>
      </c>
    </row>
    <row r="1182" spans="1:8" x14ac:dyDescent="0.2">
      <c r="A1182" s="2" t="s">
        <v>86</v>
      </c>
      <c r="B1182" s="4">
        <v>12</v>
      </c>
      <c r="C1182" s="5">
        <v>10.81</v>
      </c>
      <c r="D1182" s="4">
        <v>12</v>
      </c>
      <c r="E1182" s="5">
        <v>18.18</v>
      </c>
      <c r="F1182" s="4">
        <v>0</v>
      </c>
      <c r="G1182" s="5">
        <v>0</v>
      </c>
      <c r="H1182" s="4">
        <v>0</v>
      </c>
    </row>
    <row r="1183" spans="1:8" x14ac:dyDescent="0.2">
      <c r="A1183" s="2" t="s">
        <v>87</v>
      </c>
      <c r="B1183" s="4">
        <v>0</v>
      </c>
      <c r="C1183" s="5">
        <v>0</v>
      </c>
      <c r="D1183" s="4">
        <v>0</v>
      </c>
      <c r="E1183" s="5">
        <v>0</v>
      </c>
      <c r="F1183" s="4">
        <v>0</v>
      </c>
      <c r="G1183" s="5">
        <v>0</v>
      </c>
      <c r="H1183" s="4">
        <v>0</v>
      </c>
    </row>
    <row r="1184" spans="1:8" x14ac:dyDescent="0.2">
      <c r="A1184" s="2" t="s">
        <v>88</v>
      </c>
      <c r="B1184" s="4">
        <v>6</v>
      </c>
      <c r="C1184" s="5">
        <v>5.41</v>
      </c>
      <c r="D1184" s="4">
        <v>1</v>
      </c>
      <c r="E1184" s="5">
        <v>1.52</v>
      </c>
      <c r="F1184" s="4">
        <v>4</v>
      </c>
      <c r="G1184" s="5">
        <v>9.3000000000000007</v>
      </c>
      <c r="H1184" s="4">
        <v>0</v>
      </c>
    </row>
    <row r="1185" spans="1:8" x14ac:dyDescent="0.2">
      <c r="A1185" s="2" t="s">
        <v>89</v>
      </c>
      <c r="B1185" s="4">
        <v>11</v>
      </c>
      <c r="C1185" s="5">
        <v>9.91</v>
      </c>
      <c r="D1185" s="4">
        <v>8</v>
      </c>
      <c r="E1185" s="5">
        <v>12.12</v>
      </c>
      <c r="F1185" s="4">
        <v>2</v>
      </c>
      <c r="G1185" s="5">
        <v>4.6500000000000004</v>
      </c>
      <c r="H1185" s="4">
        <v>0</v>
      </c>
    </row>
    <row r="1186" spans="1:8" x14ac:dyDescent="0.2">
      <c r="A1186" s="1" t="s">
        <v>74</v>
      </c>
      <c r="B1186" s="4">
        <v>374</v>
      </c>
      <c r="C1186" s="5">
        <v>99.990000000000009</v>
      </c>
      <c r="D1186" s="4">
        <v>230</v>
      </c>
      <c r="E1186" s="5">
        <v>99.999999999999986</v>
      </c>
      <c r="F1186" s="4">
        <v>133</v>
      </c>
      <c r="G1186" s="5">
        <v>99.990000000000009</v>
      </c>
      <c r="H1186" s="4">
        <v>2</v>
      </c>
    </row>
    <row r="1187" spans="1:8" x14ac:dyDescent="0.2">
      <c r="A1187" s="2" t="s">
        <v>75</v>
      </c>
      <c r="B1187" s="4">
        <v>0</v>
      </c>
      <c r="C1187" s="5">
        <v>0</v>
      </c>
      <c r="D1187" s="4">
        <v>0</v>
      </c>
      <c r="E1187" s="5">
        <v>0</v>
      </c>
      <c r="F1187" s="4">
        <v>0</v>
      </c>
      <c r="G1187" s="5">
        <v>0</v>
      </c>
      <c r="H1187" s="4">
        <v>0</v>
      </c>
    </row>
    <row r="1188" spans="1:8" x14ac:dyDescent="0.2">
      <c r="A1188" s="2" t="s">
        <v>76</v>
      </c>
      <c r="B1188" s="4">
        <v>94</v>
      </c>
      <c r="C1188" s="5">
        <v>25.13</v>
      </c>
      <c r="D1188" s="4">
        <v>37</v>
      </c>
      <c r="E1188" s="5">
        <v>16.09</v>
      </c>
      <c r="F1188" s="4">
        <v>57</v>
      </c>
      <c r="G1188" s="5">
        <v>42.86</v>
      </c>
      <c r="H1188" s="4">
        <v>0</v>
      </c>
    </row>
    <row r="1189" spans="1:8" x14ac:dyDescent="0.2">
      <c r="A1189" s="2" t="s">
        <v>77</v>
      </c>
      <c r="B1189" s="4">
        <v>18</v>
      </c>
      <c r="C1189" s="5">
        <v>4.8099999999999996</v>
      </c>
      <c r="D1189" s="4">
        <v>9</v>
      </c>
      <c r="E1189" s="5">
        <v>3.91</v>
      </c>
      <c r="F1189" s="4">
        <v>9</v>
      </c>
      <c r="G1189" s="5">
        <v>6.77</v>
      </c>
      <c r="H1189" s="4">
        <v>0</v>
      </c>
    </row>
    <row r="1190" spans="1:8" x14ac:dyDescent="0.2">
      <c r="A1190" s="2" t="s">
        <v>78</v>
      </c>
      <c r="B1190" s="4">
        <v>0</v>
      </c>
      <c r="C1190" s="5">
        <v>0</v>
      </c>
      <c r="D1190" s="4">
        <v>0</v>
      </c>
      <c r="E1190" s="5">
        <v>0</v>
      </c>
      <c r="F1190" s="4">
        <v>0</v>
      </c>
      <c r="G1190" s="5">
        <v>0</v>
      </c>
      <c r="H1190" s="4">
        <v>0</v>
      </c>
    </row>
    <row r="1191" spans="1:8" x14ac:dyDescent="0.2">
      <c r="A1191" s="2" t="s">
        <v>79</v>
      </c>
      <c r="B1191" s="4">
        <v>2</v>
      </c>
      <c r="C1191" s="5">
        <v>0.53</v>
      </c>
      <c r="D1191" s="4">
        <v>0</v>
      </c>
      <c r="E1191" s="5">
        <v>0</v>
      </c>
      <c r="F1191" s="4">
        <v>2</v>
      </c>
      <c r="G1191" s="5">
        <v>1.5</v>
      </c>
      <c r="H1191" s="4">
        <v>0</v>
      </c>
    </row>
    <row r="1192" spans="1:8" x14ac:dyDescent="0.2">
      <c r="A1192" s="2" t="s">
        <v>80</v>
      </c>
      <c r="B1192" s="4">
        <v>3</v>
      </c>
      <c r="C1192" s="5">
        <v>0.8</v>
      </c>
      <c r="D1192" s="4">
        <v>2</v>
      </c>
      <c r="E1192" s="5">
        <v>0.87</v>
      </c>
      <c r="F1192" s="4">
        <v>1</v>
      </c>
      <c r="G1192" s="5">
        <v>0.75</v>
      </c>
      <c r="H1192" s="4">
        <v>0</v>
      </c>
    </row>
    <row r="1193" spans="1:8" x14ac:dyDescent="0.2">
      <c r="A1193" s="2" t="s">
        <v>81</v>
      </c>
      <c r="B1193" s="4">
        <v>91</v>
      </c>
      <c r="C1193" s="5">
        <v>24.33</v>
      </c>
      <c r="D1193" s="4">
        <v>61</v>
      </c>
      <c r="E1193" s="5">
        <v>26.52</v>
      </c>
      <c r="F1193" s="4">
        <v>29</v>
      </c>
      <c r="G1193" s="5">
        <v>21.8</v>
      </c>
      <c r="H1193" s="4">
        <v>1</v>
      </c>
    </row>
    <row r="1194" spans="1:8" x14ac:dyDescent="0.2">
      <c r="A1194" s="2" t="s">
        <v>82</v>
      </c>
      <c r="B1194" s="4">
        <v>2</v>
      </c>
      <c r="C1194" s="5">
        <v>0.53</v>
      </c>
      <c r="D1194" s="4">
        <v>0</v>
      </c>
      <c r="E1194" s="5">
        <v>0</v>
      </c>
      <c r="F1194" s="4">
        <v>2</v>
      </c>
      <c r="G1194" s="5">
        <v>1.5</v>
      </c>
      <c r="H1194" s="4">
        <v>0</v>
      </c>
    </row>
    <row r="1195" spans="1:8" x14ac:dyDescent="0.2">
      <c r="A1195" s="2" t="s">
        <v>83</v>
      </c>
      <c r="B1195" s="4">
        <v>14</v>
      </c>
      <c r="C1195" s="5">
        <v>3.74</v>
      </c>
      <c r="D1195" s="4">
        <v>6</v>
      </c>
      <c r="E1195" s="5">
        <v>2.61</v>
      </c>
      <c r="F1195" s="4">
        <v>7</v>
      </c>
      <c r="G1195" s="5">
        <v>5.26</v>
      </c>
      <c r="H1195" s="4">
        <v>0</v>
      </c>
    </row>
    <row r="1196" spans="1:8" x14ac:dyDescent="0.2">
      <c r="A1196" s="2" t="s">
        <v>84</v>
      </c>
      <c r="B1196" s="4">
        <v>9</v>
      </c>
      <c r="C1196" s="5">
        <v>2.41</v>
      </c>
      <c r="D1196" s="4">
        <v>4</v>
      </c>
      <c r="E1196" s="5">
        <v>1.74</v>
      </c>
      <c r="F1196" s="4">
        <v>5</v>
      </c>
      <c r="G1196" s="5">
        <v>3.76</v>
      </c>
      <c r="H1196" s="4">
        <v>0</v>
      </c>
    </row>
    <row r="1197" spans="1:8" x14ac:dyDescent="0.2">
      <c r="A1197" s="2" t="s">
        <v>85</v>
      </c>
      <c r="B1197" s="4">
        <v>40</v>
      </c>
      <c r="C1197" s="5">
        <v>10.7</v>
      </c>
      <c r="D1197" s="4">
        <v>37</v>
      </c>
      <c r="E1197" s="5">
        <v>16.09</v>
      </c>
      <c r="F1197" s="4">
        <v>3</v>
      </c>
      <c r="G1197" s="5">
        <v>2.2599999999999998</v>
      </c>
      <c r="H1197" s="4">
        <v>0</v>
      </c>
    </row>
    <row r="1198" spans="1:8" x14ac:dyDescent="0.2">
      <c r="A1198" s="2" t="s">
        <v>86</v>
      </c>
      <c r="B1198" s="4">
        <v>50</v>
      </c>
      <c r="C1198" s="5">
        <v>13.37</v>
      </c>
      <c r="D1198" s="4">
        <v>40</v>
      </c>
      <c r="E1198" s="5">
        <v>17.39</v>
      </c>
      <c r="F1198" s="4">
        <v>8</v>
      </c>
      <c r="G1198" s="5">
        <v>6.02</v>
      </c>
      <c r="H1198" s="4">
        <v>0</v>
      </c>
    </row>
    <row r="1199" spans="1:8" x14ac:dyDescent="0.2">
      <c r="A1199" s="2" t="s">
        <v>87</v>
      </c>
      <c r="B1199" s="4">
        <v>14</v>
      </c>
      <c r="C1199" s="5">
        <v>3.74</v>
      </c>
      <c r="D1199" s="4">
        <v>10</v>
      </c>
      <c r="E1199" s="5">
        <v>4.3499999999999996</v>
      </c>
      <c r="F1199" s="4">
        <v>1</v>
      </c>
      <c r="G1199" s="5">
        <v>0.75</v>
      </c>
      <c r="H1199" s="4">
        <v>1</v>
      </c>
    </row>
    <row r="1200" spans="1:8" x14ac:dyDescent="0.2">
      <c r="A1200" s="2" t="s">
        <v>88</v>
      </c>
      <c r="B1200" s="4">
        <v>24</v>
      </c>
      <c r="C1200" s="5">
        <v>6.42</v>
      </c>
      <c r="D1200" s="4">
        <v>15</v>
      </c>
      <c r="E1200" s="5">
        <v>6.52</v>
      </c>
      <c r="F1200" s="4">
        <v>7</v>
      </c>
      <c r="G1200" s="5">
        <v>5.26</v>
      </c>
      <c r="H1200" s="4">
        <v>0</v>
      </c>
    </row>
    <row r="1201" spans="1:8" x14ac:dyDescent="0.2">
      <c r="A1201" s="2" t="s">
        <v>89</v>
      </c>
      <c r="B1201" s="4">
        <v>13</v>
      </c>
      <c r="C1201" s="5">
        <v>3.48</v>
      </c>
      <c r="D1201" s="4">
        <v>9</v>
      </c>
      <c r="E1201" s="5">
        <v>3.91</v>
      </c>
      <c r="F1201" s="4">
        <v>2</v>
      </c>
      <c r="G1201" s="5">
        <v>1.5</v>
      </c>
      <c r="H1201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F1D75-0814-4E2E-B055-2794C133BAE0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303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276</v>
      </c>
      <c r="D6" s="8">
        <v>13.51</v>
      </c>
      <c r="E6" s="12">
        <v>40</v>
      </c>
      <c r="F6" s="8">
        <v>4.0599999999999996</v>
      </c>
      <c r="G6" s="12">
        <v>236</v>
      </c>
      <c r="H6" s="8">
        <v>22.71</v>
      </c>
      <c r="I6" s="12">
        <v>0</v>
      </c>
    </row>
    <row r="7" spans="2:9" ht="15" customHeight="1" x14ac:dyDescent="0.2">
      <c r="B7" t="s">
        <v>77</v>
      </c>
      <c r="C7" s="12">
        <v>56</v>
      </c>
      <c r="D7" s="8">
        <v>2.74</v>
      </c>
      <c r="E7" s="12">
        <v>23</v>
      </c>
      <c r="F7" s="8">
        <v>2.33</v>
      </c>
      <c r="G7" s="12">
        <v>33</v>
      </c>
      <c r="H7" s="8">
        <v>3.18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0.05</v>
      </c>
      <c r="E8" s="12">
        <v>0</v>
      </c>
      <c r="F8" s="8">
        <v>0</v>
      </c>
      <c r="G8" s="12">
        <v>1</v>
      </c>
      <c r="H8" s="8">
        <v>0.1</v>
      </c>
      <c r="I8" s="12">
        <v>0</v>
      </c>
    </row>
    <row r="9" spans="2:9" ht="15" customHeight="1" x14ac:dyDescent="0.2">
      <c r="B9" t="s">
        <v>79</v>
      </c>
      <c r="C9" s="12">
        <v>25</v>
      </c>
      <c r="D9" s="8">
        <v>1.22</v>
      </c>
      <c r="E9" s="12">
        <v>1</v>
      </c>
      <c r="F9" s="8">
        <v>0.1</v>
      </c>
      <c r="G9" s="12">
        <v>24</v>
      </c>
      <c r="H9" s="8">
        <v>2.31</v>
      </c>
      <c r="I9" s="12">
        <v>0</v>
      </c>
    </row>
    <row r="10" spans="2:9" ht="15" customHeight="1" x14ac:dyDescent="0.2">
      <c r="B10" t="s">
        <v>80</v>
      </c>
      <c r="C10" s="12">
        <v>8</v>
      </c>
      <c r="D10" s="8">
        <v>0.39</v>
      </c>
      <c r="E10" s="12">
        <v>2</v>
      </c>
      <c r="F10" s="8">
        <v>0.2</v>
      </c>
      <c r="G10" s="12">
        <v>6</v>
      </c>
      <c r="H10" s="8">
        <v>0.57999999999999996</v>
      </c>
      <c r="I10" s="12">
        <v>0</v>
      </c>
    </row>
    <row r="11" spans="2:9" ht="15" customHeight="1" x14ac:dyDescent="0.2">
      <c r="B11" t="s">
        <v>81</v>
      </c>
      <c r="C11" s="12">
        <v>408</v>
      </c>
      <c r="D11" s="8">
        <v>19.97</v>
      </c>
      <c r="E11" s="12">
        <v>193</v>
      </c>
      <c r="F11" s="8">
        <v>19.57</v>
      </c>
      <c r="G11" s="12">
        <v>214</v>
      </c>
      <c r="H11" s="8">
        <v>20.6</v>
      </c>
      <c r="I11" s="12">
        <v>1</v>
      </c>
    </row>
    <row r="12" spans="2:9" ht="15" customHeight="1" x14ac:dyDescent="0.2">
      <c r="B12" t="s">
        <v>82</v>
      </c>
      <c r="C12" s="12">
        <v>14</v>
      </c>
      <c r="D12" s="8">
        <v>0.69</v>
      </c>
      <c r="E12" s="12">
        <v>5</v>
      </c>
      <c r="F12" s="8">
        <v>0.51</v>
      </c>
      <c r="G12" s="12">
        <v>9</v>
      </c>
      <c r="H12" s="8">
        <v>0.87</v>
      </c>
      <c r="I12" s="12">
        <v>0</v>
      </c>
    </row>
    <row r="13" spans="2:9" ht="15" customHeight="1" x14ac:dyDescent="0.2">
      <c r="B13" t="s">
        <v>83</v>
      </c>
      <c r="C13" s="12">
        <v>301</v>
      </c>
      <c r="D13" s="8">
        <v>14.73</v>
      </c>
      <c r="E13" s="12">
        <v>96</v>
      </c>
      <c r="F13" s="8">
        <v>9.74</v>
      </c>
      <c r="G13" s="12">
        <v>205</v>
      </c>
      <c r="H13" s="8">
        <v>19.73</v>
      </c>
      <c r="I13" s="12">
        <v>0</v>
      </c>
    </row>
    <row r="14" spans="2:9" ht="15" customHeight="1" x14ac:dyDescent="0.2">
      <c r="B14" t="s">
        <v>84</v>
      </c>
      <c r="C14" s="12">
        <v>119</v>
      </c>
      <c r="D14" s="8">
        <v>5.82</v>
      </c>
      <c r="E14" s="12">
        <v>42</v>
      </c>
      <c r="F14" s="8">
        <v>4.26</v>
      </c>
      <c r="G14" s="12">
        <v>77</v>
      </c>
      <c r="H14" s="8">
        <v>7.41</v>
      </c>
      <c r="I14" s="12">
        <v>0</v>
      </c>
    </row>
    <row r="15" spans="2:9" ht="15" customHeight="1" x14ac:dyDescent="0.2">
      <c r="B15" t="s">
        <v>85</v>
      </c>
      <c r="C15" s="12">
        <v>227</v>
      </c>
      <c r="D15" s="8">
        <v>11.11</v>
      </c>
      <c r="E15" s="12">
        <v>194</v>
      </c>
      <c r="F15" s="8">
        <v>19.68</v>
      </c>
      <c r="G15" s="12">
        <v>33</v>
      </c>
      <c r="H15" s="8">
        <v>3.18</v>
      </c>
      <c r="I15" s="12">
        <v>0</v>
      </c>
    </row>
    <row r="16" spans="2:9" ht="15" customHeight="1" x14ac:dyDescent="0.2">
      <c r="B16" t="s">
        <v>86</v>
      </c>
      <c r="C16" s="12">
        <v>327</v>
      </c>
      <c r="D16" s="8">
        <v>16.010000000000002</v>
      </c>
      <c r="E16" s="12">
        <v>251</v>
      </c>
      <c r="F16" s="8">
        <v>25.46</v>
      </c>
      <c r="G16" s="12">
        <v>76</v>
      </c>
      <c r="H16" s="8">
        <v>7.31</v>
      </c>
      <c r="I16" s="12">
        <v>0</v>
      </c>
    </row>
    <row r="17" spans="2:9" ht="15" customHeight="1" x14ac:dyDescent="0.2">
      <c r="B17" t="s">
        <v>87</v>
      </c>
      <c r="C17" s="12">
        <v>85</v>
      </c>
      <c r="D17" s="8">
        <v>4.16</v>
      </c>
      <c r="E17" s="12">
        <v>49</v>
      </c>
      <c r="F17" s="8">
        <v>4.97</v>
      </c>
      <c r="G17" s="12">
        <v>24</v>
      </c>
      <c r="H17" s="8">
        <v>2.31</v>
      </c>
      <c r="I17" s="12">
        <v>1</v>
      </c>
    </row>
    <row r="18" spans="2:9" ht="15" customHeight="1" x14ac:dyDescent="0.2">
      <c r="B18" t="s">
        <v>88</v>
      </c>
      <c r="C18" s="12">
        <v>136</v>
      </c>
      <c r="D18" s="8">
        <v>6.66</v>
      </c>
      <c r="E18" s="12">
        <v>73</v>
      </c>
      <c r="F18" s="8">
        <v>7.4</v>
      </c>
      <c r="G18" s="12">
        <v>58</v>
      </c>
      <c r="H18" s="8">
        <v>5.58</v>
      </c>
      <c r="I18" s="12">
        <v>0</v>
      </c>
    </row>
    <row r="19" spans="2:9" ht="15" customHeight="1" x14ac:dyDescent="0.2">
      <c r="B19" t="s">
        <v>89</v>
      </c>
      <c r="C19" s="12">
        <v>60</v>
      </c>
      <c r="D19" s="8">
        <v>2.94</v>
      </c>
      <c r="E19" s="12">
        <v>17</v>
      </c>
      <c r="F19" s="8">
        <v>1.72</v>
      </c>
      <c r="G19" s="12">
        <v>43</v>
      </c>
      <c r="H19" s="8">
        <v>4.1399999999999997</v>
      </c>
      <c r="I19" s="12">
        <v>0</v>
      </c>
    </row>
    <row r="20" spans="2:9" ht="15" customHeight="1" x14ac:dyDescent="0.2">
      <c r="B20" s="9" t="s">
        <v>285</v>
      </c>
      <c r="C20" s="12">
        <f>SUM(LTBL_40136[総数／事業所数])</f>
        <v>2043</v>
      </c>
      <c r="E20" s="12">
        <f>SUBTOTAL(109,LTBL_40136[個人／事業所数])</f>
        <v>986</v>
      </c>
      <c r="G20" s="12">
        <f>SUBTOTAL(109,LTBL_40136[法人／事業所数])</f>
        <v>1039</v>
      </c>
      <c r="I20" s="12">
        <f>SUBTOTAL(109,LTBL_40136[法人以外の団体／事業所数])</f>
        <v>2</v>
      </c>
    </row>
    <row r="21" spans="2:9" ht="15" customHeight="1" x14ac:dyDescent="0.2">
      <c r="E21" s="11">
        <f>LTBL_40136[[#Totals],[個人／事業所数]]/LTBL_40136[[#Totals],[総数／事業所数]]</f>
        <v>0.48262359275575134</v>
      </c>
      <c r="G21" s="11">
        <f>LTBL_40136[[#Totals],[法人／事業所数]]/LTBL_40136[[#Totals],[総数／事業所数]]</f>
        <v>0.50856583455702398</v>
      </c>
      <c r="I21" s="11">
        <f>LTBL_40136[[#Totals],[法人以外の団体／事業所数]]/LTBL_40136[[#Totals],[総数／事業所数]]</f>
        <v>9.7895252080274116E-4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277</v>
      </c>
      <c r="D24" s="8">
        <v>13.56</v>
      </c>
      <c r="E24" s="12">
        <v>231</v>
      </c>
      <c r="F24" s="8">
        <v>23.43</v>
      </c>
      <c r="G24" s="12">
        <v>46</v>
      </c>
      <c r="H24" s="8">
        <v>4.43</v>
      </c>
      <c r="I24" s="12">
        <v>0</v>
      </c>
    </row>
    <row r="25" spans="2:9" ht="15" customHeight="1" x14ac:dyDescent="0.2">
      <c r="B25" t="s">
        <v>109</v>
      </c>
      <c r="C25" s="12">
        <v>236</v>
      </c>
      <c r="D25" s="8">
        <v>11.55</v>
      </c>
      <c r="E25" s="12">
        <v>87</v>
      </c>
      <c r="F25" s="8">
        <v>8.82</v>
      </c>
      <c r="G25" s="12">
        <v>149</v>
      </c>
      <c r="H25" s="8">
        <v>14.34</v>
      </c>
      <c r="I25" s="12">
        <v>0</v>
      </c>
    </row>
    <row r="26" spans="2:9" ht="15" customHeight="1" x14ac:dyDescent="0.2">
      <c r="B26" t="s">
        <v>112</v>
      </c>
      <c r="C26" s="12">
        <v>199</v>
      </c>
      <c r="D26" s="8">
        <v>9.74</v>
      </c>
      <c r="E26" s="12">
        <v>178</v>
      </c>
      <c r="F26" s="8">
        <v>18.05</v>
      </c>
      <c r="G26" s="12">
        <v>21</v>
      </c>
      <c r="H26" s="8">
        <v>2.02</v>
      </c>
      <c r="I26" s="12">
        <v>0</v>
      </c>
    </row>
    <row r="27" spans="2:9" ht="15" customHeight="1" x14ac:dyDescent="0.2">
      <c r="B27" t="s">
        <v>98</v>
      </c>
      <c r="C27" s="12">
        <v>113</v>
      </c>
      <c r="D27" s="8">
        <v>5.53</v>
      </c>
      <c r="E27" s="12">
        <v>14</v>
      </c>
      <c r="F27" s="8">
        <v>1.42</v>
      </c>
      <c r="G27" s="12">
        <v>99</v>
      </c>
      <c r="H27" s="8">
        <v>9.5299999999999994</v>
      </c>
      <c r="I27" s="12">
        <v>0</v>
      </c>
    </row>
    <row r="28" spans="2:9" ht="15" customHeight="1" x14ac:dyDescent="0.2">
      <c r="B28" t="s">
        <v>107</v>
      </c>
      <c r="C28" s="12">
        <v>107</v>
      </c>
      <c r="D28" s="8">
        <v>5.24</v>
      </c>
      <c r="E28" s="12">
        <v>50</v>
      </c>
      <c r="F28" s="8">
        <v>5.07</v>
      </c>
      <c r="G28" s="12">
        <v>57</v>
      </c>
      <c r="H28" s="8">
        <v>5.49</v>
      </c>
      <c r="I28" s="12">
        <v>0</v>
      </c>
    </row>
    <row r="29" spans="2:9" ht="15" customHeight="1" x14ac:dyDescent="0.2">
      <c r="B29" t="s">
        <v>99</v>
      </c>
      <c r="C29" s="12">
        <v>94</v>
      </c>
      <c r="D29" s="8">
        <v>4.5999999999999996</v>
      </c>
      <c r="E29" s="12">
        <v>14</v>
      </c>
      <c r="F29" s="8">
        <v>1.42</v>
      </c>
      <c r="G29" s="12">
        <v>80</v>
      </c>
      <c r="H29" s="8">
        <v>7.7</v>
      </c>
      <c r="I29" s="12">
        <v>0</v>
      </c>
    </row>
    <row r="30" spans="2:9" ht="15" customHeight="1" x14ac:dyDescent="0.2">
      <c r="B30" t="s">
        <v>105</v>
      </c>
      <c r="C30" s="12">
        <v>94</v>
      </c>
      <c r="D30" s="8">
        <v>4.5999999999999996</v>
      </c>
      <c r="E30" s="12">
        <v>66</v>
      </c>
      <c r="F30" s="8">
        <v>6.69</v>
      </c>
      <c r="G30" s="12">
        <v>28</v>
      </c>
      <c r="H30" s="8">
        <v>2.69</v>
      </c>
      <c r="I30" s="12">
        <v>0</v>
      </c>
    </row>
    <row r="31" spans="2:9" ht="15" customHeight="1" x14ac:dyDescent="0.2">
      <c r="B31" t="s">
        <v>114</v>
      </c>
      <c r="C31" s="12">
        <v>85</v>
      </c>
      <c r="D31" s="8">
        <v>4.16</v>
      </c>
      <c r="E31" s="12">
        <v>49</v>
      </c>
      <c r="F31" s="8">
        <v>4.97</v>
      </c>
      <c r="G31" s="12">
        <v>24</v>
      </c>
      <c r="H31" s="8">
        <v>2.31</v>
      </c>
      <c r="I31" s="12">
        <v>1</v>
      </c>
    </row>
    <row r="32" spans="2:9" ht="15" customHeight="1" x14ac:dyDescent="0.2">
      <c r="B32" t="s">
        <v>115</v>
      </c>
      <c r="C32" s="12">
        <v>83</v>
      </c>
      <c r="D32" s="8">
        <v>4.0599999999999996</v>
      </c>
      <c r="E32" s="12">
        <v>73</v>
      </c>
      <c r="F32" s="8">
        <v>7.4</v>
      </c>
      <c r="G32" s="12">
        <v>10</v>
      </c>
      <c r="H32" s="8">
        <v>0.96</v>
      </c>
      <c r="I32" s="12">
        <v>0</v>
      </c>
    </row>
    <row r="33" spans="2:9" ht="15" customHeight="1" x14ac:dyDescent="0.2">
      <c r="B33" t="s">
        <v>106</v>
      </c>
      <c r="C33" s="12">
        <v>71</v>
      </c>
      <c r="D33" s="8">
        <v>3.48</v>
      </c>
      <c r="E33" s="12">
        <v>45</v>
      </c>
      <c r="F33" s="8">
        <v>4.5599999999999996</v>
      </c>
      <c r="G33" s="12">
        <v>26</v>
      </c>
      <c r="H33" s="8">
        <v>2.5</v>
      </c>
      <c r="I33" s="12">
        <v>0</v>
      </c>
    </row>
    <row r="34" spans="2:9" ht="15" customHeight="1" x14ac:dyDescent="0.2">
      <c r="B34" t="s">
        <v>100</v>
      </c>
      <c r="C34" s="12">
        <v>69</v>
      </c>
      <c r="D34" s="8">
        <v>3.38</v>
      </c>
      <c r="E34" s="12">
        <v>12</v>
      </c>
      <c r="F34" s="8">
        <v>1.22</v>
      </c>
      <c r="G34" s="12">
        <v>57</v>
      </c>
      <c r="H34" s="8">
        <v>5.49</v>
      </c>
      <c r="I34" s="12">
        <v>0</v>
      </c>
    </row>
    <row r="35" spans="2:9" ht="15" customHeight="1" x14ac:dyDescent="0.2">
      <c r="B35" t="s">
        <v>108</v>
      </c>
      <c r="C35" s="12">
        <v>59</v>
      </c>
      <c r="D35" s="8">
        <v>2.89</v>
      </c>
      <c r="E35" s="12">
        <v>8</v>
      </c>
      <c r="F35" s="8">
        <v>0.81</v>
      </c>
      <c r="G35" s="12">
        <v>51</v>
      </c>
      <c r="H35" s="8">
        <v>4.91</v>
      </c>
      <c r="I35" s="12">
        <v>0</v>
      </c>
    </row>
    <row r="36" spans="2:9" ht="15" customHeight="1" x14ac:dyDescent="0.2">
      <c r="B36" t="s">
        <v>111</v>
      </c>
      <c r="C36" s="12">
        <v>59</v>
      </c>
      <c r="D36" s="8">
        <v>2.89</v>
      </c>
      <c r="E36" s="12">
        <v>22</v>
      </c>
      <c r="F36" s="8">
        <v>2.23</v>
      </c>
      <c r="G36" s="12">
        <v>37</v>
      </c>
      <c r="H36" s="8">
        <v>3.56</v>
      </c>
      <c r="I36" s="12">
        <v>0</v>
      </c>
    </row>
    <row r="37" spans="2:9" ht="15" customHeight="1" x14ac:dyDescent="0.2">
      <c r="B37" t="s">
        <v>110</v>
      </c>
      <c r="C37" s="12">
        <v>54</v>
      </c>
      <c r="D37" s="8">
        <v>2.64</v>
      </c>
      <c r="E37" s="12">
        <v>20</v>
      </c>
      <c r="F37" s="8">
        <v>2.0299999999999998</v>
      </c>
      <c r="G37" s="12">
        <v>34</v>
      </c>
      <c r="H37" s="8">
        <v>3.27</v>
      </c>
      <c r="I37" s="12">
        <v>0</v>
      </c>
    </row>
    <row r="38" spans="2:9" ht="15" customHeight="1" x14ac:dyDescent="0.2">
      <c r="B38" t="s">
        <v>116</v>
      </c>
      <c r="C38" s="12">
        <v>53</v>
      </c>
      <c r="D38" s="8">
        <v>2.59</v>
      </c>
      <c r="E38" s="12">
        <v>0</v>
      </c>
      <c r="F38" s="8">
        <v>0</v>
      </c>
      <c r="G38" s="12">
        <v>48</v>
      </c>
      <c r="H38" s="8">
        <v>4.62</v>
      </c>
      <c r="I38" s="12">
        <v>0</v>
      </c>
    </row>
    <row r="39" spans="2:9" ht="15" customHeight="1" x14ac:dyDescent="0.2">
      <c r="B39" t="s">
        <v>117</v>
      </c>
      <c r="C39" s="12">
        <v>32</v>
      </c>
      <c r="D39" s="8">
        <v>1.57</v>
      </c>
      <c r="E39" s="12">
        <v>2</v>
      </c>
      <c r="F39" s="8">
        <v>0.2</v>
      </c>
      <c r="G39" s="12">
        <v>30</v>
      </c>
      <c r="H39" s="8">
        <v>2.89</v>
      </c>
      <c r="I39" s="12">
        <v>0</v>
      </c>
    </row>
    <row r="40" spans="2:9" ht="15" customHeight="1" x14ac:dyDescent="0.2">
      <c r="B40" t="s">
        <v>103</v>
      </c>
      <c r="C40" s="12">
        <v>31</v>
      </c>
      <c r="D40" s="8">
        <v>1.52</v>
      </c>
      <c r="E40" s="12">
        <v>2</v>
      </c>
      <c r="F40" s="8">
        <v>0.2</v>
      </c>
      <c r="G40" s="12">
        <v>29</v>
      </c>
      <c r="H40" s="8">
        <v>2.79</v>
      </c>
      <c r="I40" s="12">
        <v>0</v>
      </c>
    </row>
    <row r="41" spans="2:9" ht="15" customHeight="1" x14ac:dyDescent="0.2">
      <c r="B41" t="s">
        <v>104</v>
      </c>
      <c r="C41" s="12">
        <v>26</v>
      </c>
      <c r="D41" s="8">
        <v>1.27</v>
      </c>
      <c r="E41" s="12">
        <v>17</v>
      </c>
      <c r="F41" s="8">
        <v>1.72</v>
      </c>
      <c r="G41" s="12">
        <v>9</v>
      </c>
      <c r="H41" s="8">
        <v>0.87</v>
      </c>
      <c r="I41" s="12">
        <v>0</v>
      </c>
    </row>
    <row r="42" spans="2:9" ht="15" customHeight="1" x14ac:dyDescent="0.2">
      <c r="B42" t="s">
        <v>118</v>
      </c>
      <c r="C42" s="12">
        <v>26</v>
      </c>
      <c r="D42" s="8">
        <v>1.27</v>
      </c>
      <c r="E42" s="12">
        <v>11</v>
      </c>
      <c r="F42" s="8">
        <v>1.1200000000000001</v>
      </c>
      <c r="G42" s="12">
        <v>15</v>
      </c>
      <c r="H42" s="8">
        <v>1.44</v>
      </c>
      <c r="I42" s="12">
        <v>0</v>
      </c>
    </row>
    <row r="43" spans="2:9" ht="15" customHeight="1" x14ac:dyDescent="0.2">
      <c r="B43" t="s">
        <v>127</v>
      </c>
      <c r="C43" s="12">
        <v>24</v>
      </c>
      <c r="D43" s="8">
        <v>1.17</v>
      </c>
      <c r="E43" s="12">
        <v>9</v>
      </c>
      <c r="F43" s="8">
        <v>0.91</v>
      </c>
      <c r="G43" s="12">
        <v>15</v>
      </c>
      <c r="H43" s="8">
        <v>1.44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164</v>
      </c>
      <c r="C47" s="12">
        <v>165</v>
      </c>
      <c r="D47" s="8">
        <v>8.08</v>
      </c>
      <c r="E47" s="12">
        <v>77</v>
      </c>
      <c r="F47" s="8">
        <v>7.81</v>
      </c>
      <c r="G47" s="12">
        <v>88</v>
      </c>
      <c r="H47" s="8">
        <v>8.4700000000000006</v>
      </c>
      <c r="I47" s="12">
        <v>0</v>
      </c>
    </row>
    <row r="48" spans="2:9" ht="15" customHeight="1" x14ac:dyDescent="0.2">
      <c r="B48" t="s">
        <v>170</v>
      </c>
      <c r="C48" s="12">
        <v>149</v>
      </c>
      <c r="D48" s="8">
        <v>7.29</v>
      </c>
      <c r="E48" s="12">
        <v>136</v>
      </c>
      <c r="F48" s="8">
        <v>13.79</v>
      </c>
      <c r="G48" s="12">
        <v>13</v>
      </c>
      <c r="H48" s="8">
        <v>1.25</v>
      </c>
      <c r="I48" s="12">
        <v>0</v>
      </c>
    </row>
    <row r="49" spans="2:9" ht="15" customHeight="1" x14ac:dyDescent="0.2">
      <c r="B49" t="s">
        <v>169</v>
      </c>
      <c r="C49" s="12">
        <v>73</v>
      </c>
      <c r="D49" s="8">
        <v>3.57</v>
      </c>
      <c r="E49" s="12">
        <v>68</v>
      </c>
      <c r="F49" s="8">
        <v>6.9</v>
      </c>
      <c r="G49" s="12">
        <v>5</v>
      </c>
      <c r="H49" s="8">
        <v>0.48</v>
      </c>
      <c r="I49" s="12">
        <v>0</v>
      </c>
    </row>
    <row r="50" spans="2:9" ht="15" customHeight="1" x14ac:dyDescent="0.2">
      <c r="B50" t="s">
        <v>167</v>
      </c>
      <c r="C50" s="12">
        <v>69</v>
      </c>
      <c r="D50" s="8">
        <v>3.38</v>
      </c>
      <c r="E50" s="12">
        <v>65</v>
      </c>
      <c r="F50" s="8">
        <v>6.59</v>
      </c>
      <c r="G50" s="12">
        <v>4</v>
      </c>
      <c r="H50" s="8">
        <v>0.38</v>
      </c>
      <c r="I50" s="12">
        <v>0</v>
      </c>
    </row>
    <row r="51" spans="2:9" ht="15" customHeight="1" x14ac:dyDescent="0.2">
      <c r="B51" t="s">
        <v>172</v>
      </c>
      <c r="C51" s="12">
        <v>55</v>
      </c>
      <c r="D51" s="8">
        <v>2.69</v>
      </c>
      <c r="E51" s="12">
        <v>51</v>
      </c>
      <c r="F51" s="8">
        <v>5.17</v>
      </c>
      <c r="G51" s="12">
        <v>4</v>
      </c>
      <c r="H51" s="8">
        <v>0.38</v>
      </c>
      <c r="I51" s="12">
        <v>0</v>
      </c>
    </row>
    <row r="52" spans="2:9" ht="15" customHeight="1" x14ac:dyDescent="0.2">
      <c r="B52" t="s">
        <v>162</v>
      </c>
      <c r="C52" s="12">
        <v>51</v>
      </c>
      <c r="D52" s="8">
        <v>2.5</v>
      </c>
      <c r="E52" s="12">
        <v>8</v>
      </c>
      <c r="F52" s="8">
        <v>0.81</v>
      </c>
      <c r="G52" s="12">
        <v>43</v>
      </c>
      <c r="H52" s="8">
        <v>4.1399999999999997</v>
      </c>
      <c r="I52" s="12">
        <v>0</v>
      </c>
    </row>
    <row r="53" spans="2:9" ht="15" customHeight="1" x14ac:dyDescent="0.2">
      <c r="B53" t="s">
        <v>165</v>
      </c>
      <c r="C53" s="12">
        <v>49</v>
      </c>
      <c r="D53" s="8">
        <v>2.4</v>
      </c>
      <c r="E53" s="12">
        <v>16</v>
      </c>
      <c r="F53" s="8">
        <v>1.62</v>
      </c>
      <c r="G53" s="12">
        <v>33</v>
      </c>
      <c r="H53" s="8">
        <v>3.18</v>
      </c>
      <c r="I53" s="12">
        <v>0</v>
      </c>
    </row>
    <row r="54" spans="2:9" ht="15" customHeight="1" x14ac:dyDescent="0.2">
      <c r="B54" t="s">
        <v>166</v>
      </c>
      <c r="C54" s="12">
        <v>49</v>
      </c>
      <c r="D54" s="8">
        <v>2.4</v>
      </c>
      <c r="E54" s="12">
        <v>41</v>
      </c>
      <c r="F54" s="8">
        <v>4.16</v>
      </c>
      <c r="G54" s="12">
        <v>8</v>
      </c>
      <c r="H54" s="8">
        <v>0.77</v>
      </c>
      <c r="I54" s="12">
        <v>0</v>
      </c>
    </row>
    <row r="55" spans="2:9" ht="15" customHeight="1" x14ac:dyDescent="0.2">
      <c r="B55" t="s">
        <v>171</v>
      </c>
      <c r="C55" s="12">
        <v>44</v>
      </c>
      <c r="D55" s="8">
        <v>2.15</v>
      </c>
      <c r="E55" s="12">
        <v>33</v>
      </c>
      <c r="F55" s="8">
        <v>3.35</v>
      </c>
      <c r="G55" s="12">
        <v>11</v>
      </c>
      <c r="H55" s="8">
        <v>1.06</v>
      </c>
      <c r="I55" s="12">
        <v>0</v>
      </c>
    </row>
    <row r="56" spans="2:9" ht="15" customHeight="1" x14ac:dyDescent="0.2">
      <c r="B56" t="s">
        <v>182</v>
      </c>
      <c r="C56" s="12">
        <v>39</v>
      </c>
      <c r="D56" s="8">
        <v>1.91</v>
      </c>
      <c r="E56" s="12">
        <v>19</v>
      </c>
      <c r="F56" s="8">
        <v>1.93</v>
      </c>
      <c r="G56" s="12">
        <v>20</v>
      </c>
      <c r="H56" s="8">
        <v>1.92</v>
      </c>
      <c r="I56" s="12">
        <v>0</v>
      </c>
    </row>
    <row r="57" spans="2:9" ht="15" customHeight="1" x14ac:dyDescent="0.2">
      <c r="B57" t="s">
        <v>155</v>
      </c>
      <c r="C57" s="12">
        <v>37</v>
      </c>
      <c r="D57" s="8">
        <v>1.81</v>
      </c>
      <c r="E57" s="12">
        <v>2</v>
      </c>
      <c r="F57" s="8">
        <v>0.2</v>
      </c>
      <c r="G57" s="12">
        <v>35</v>
      </c>
      <c r="H57" s="8">
        <v>3.37</v>
      </c>
      <c r="I57" s="12">
        <v>0</v>
      </c>
    </row>
    <row r="58" spans="2:9" ht="15" customHeight="1" x14ac:dyDescent="0.2">
      <c r="B58" t="s">
        <v>187</v>
      </c>
      <c r="C58" s="12">
        <v>37</v>
      </c>
      <c r="D58" s="8">
        <v>1.81</v>
      </c>
      <c r="E58" s="12">
        <v>7</v>
      </c>
      <c r="F58" s="8">
        <v>0.71</v>
      </c>
      <c r="G58" s="12">
        <v>30</v>
      </c>
      <c r="H58" s="8">
        <v>2.89</v>
      </c>
      <c r="I58" s="12">
        <v>0</v>
      </c>
    </row>
    <row r="59" spans="2:9" ht="15" customHeight="1" x14ac:dyDescent="0.2">
      <c r="B59" t="s">
        <v>160</v>
      </c>
      <c r="C59" s="12">
        <v>37</v>
      </c>
      <c r="D59" s="8">
        <v>1.81</v>
      </c>
      <c r="E59" s="12">
        <v>12</v>
      </c>
      <c r="F59" s="8">
        <v>1.22</v>
      </c>
      <c r="G59" s="12">
        <v>25</v>
      </c>
      <c r="H59" s="8">
        <v>2.41</v>
      </c>
      <c r="I59" s="12">
        <v>0</v>
      </c>
    </row>
    <row r="60" spans="2:9" ht="15" customHeight="1" x14ac:dyDescent="0.2">
      <c r="B60" t="s">
        <v>204</v>
      </c>
      <c r="C60" s="12">
        <v>35</v>
      </c>
      <c r="D60" s="8">
        <v>1.71</v>
      </c>
      <c r="E60" s="12">
        <v>0</v>
      </c>
      <c r="F60" s="8">
        <v>0</v>
      </c>
      <c r="G60" s="12">
        <v>35</v>
      </c>
      <c r="H60" s="8">
        <v>3.37</v>
      </c>
      <c r="I60" s="12">
        <v>0</v>
      </c>
    </row>
    <row r="61" spans="2:9" ht="15" customHeight="1" x14ac:dyDescent="0.2">
      <c r="B61" t="s">
        <v>159</v>
      </c>
      <c r="C61" s="12">
        <v>34</v>
      </c>
      <c r="D61" s="8">
        <v>1.66</v>
      </c>
      <c r="E61" s="12">
        <v>20</v>
      </c>
      <c r="F61" s="8">
        <v>2.0299999999999998</v>
      </c>
      <c r="G61" s="12">
        <v>14</v>
      </c>
      <c r="H61" s="8">
        <v>1.35</v>
      </c>
      <c r="I61" s="12">
        <v>0</v>
      </c>
    </row>
    <row r="62" spans="2:9" ht="15" customHeight="1" x14ac:dyDescent="0.2">
      <c r="B62" t="s">
        <v>158</v>
      </c>
      <c r="C62" s="12">
        <v>32</v>
      </c>
      <c r="D62" s="8">
        <v>1.57</v>
      </c>
      <c r="E62" s="12">
        <v>18</v>
      </c>
      <c r="F62" s="8">
        <v>1.83</v>
      </c>
      <c r="G62" s="12">
        <v>14</v>
      </c>
      <c r="H62" s="8">
        <v>1.35</v>
      </c>
      <c r="I62" s="12">
        <v>0</v>
      </c>
    </row>
    <row r="63" spans="2:9" ht="15" customHeight="1" x14ac:dyDescent="0.2">
      <c r="B63" t="s">
        <v>163</v>
      </c>
      <c r="C63" s="12">
        <v>31</v>
      </c>
      <c r="D63" s="8">
        <v>1.52</v>
      </c>
      <c r="E63" s="12">
        <v>4</v>
      </c>
      <c r="F63" s="8">
        <v>0.41</v>
      </c>
      <c r="G63" s="12">
        <v>27</v>
      </c>
      <c r="H63" s="8">
        <v>2.6</v>
      </c>
      <c r="I63" s="12">
        <v>0</v>
      </c>
    </row>
    <row r="64" spans="2:9" ht="15" customHeight="1" x14ac:dyDescent="0.2">
      <c r="B64" t="s">
        <v>156</v>
      </c>
      <c r="C64" s="12">
        <v>30</v>
      </c>
      <c r="D64" s="8">
        <v>1.47</v>
      </c>
      <c r="E64" s="12">
        <v>4</v>
      </c>
      <c r="F64" s="8">
        <v>0.41</v>
      </c>
      <c r="G64" s="12">
        <v>26</v>
      </c>
      <c r="H64" s="8">
        <v>2.5</v>
      </c>
      <c r="I64" s="12">
        <v>0</v>
      </c>
    </row>
    <row r="65" spans="2:9" ht="15" customHeight="1" x14ac:dyDescent="0.2">
      <c r="B65" t="s">
        <v>202</v>
      </c>
      <c r="C65" s="12">
        <v>29</v>
      </c>
      <c r="D65" s="8">
        <v>1.42</v>
      </c>
      <c r="E65" s="12">
        <v>4</v>
      </c>
      <c r="F65" s="8">
        <v>0.41</v>
      </c>
      <c r="G65" s="12">
        <v>25</v>
      </c>
      <c r="H65" s="8">
        <v>2.41</v>
      </c>
      <c r="I65" s="12">
        <v>0</v>
      </c>
    </row>
    <row r="66" spans="2:9" ht="15" customHeight="1" x14ac:dyDescent="0.2">
      <c r="B66" t="s">
        <v>174</v>
      </c>
      <c r="C66" s="12">
        <v>29</v>
      </c>
      <c r="D66" s="8">
        <v>1.42</v>
      </c>
      <c r="E66" s="12">
        <v>6</v>
      </c>
      <c r="F66" s="8">
        <v>0.61</v>
      </c>
      <c r="G66" s="12">
        <v>23</v>
      </c>
      <c r="H66" s="8">
        <v>2.21</v>
      </c>
      <c r="I66" s="12">
        <v>0</v>
      </c>
    </row>
    <row r="67" spans="2:9" ht="15" customHeight="1" x14ac:dyDescent="0.2">
      <c r="B67" t="s">
        <v>188</v>
      </c>
      <c r="C67" s="12">
        <v>29</v>
      </c>
      <c r="D67" s="8">
        <v>1.42</v>
      </c>
      <c r="E67" s="12">
        <v>2</v>
      </c>
      <c r="F67" s="8">
        <v>0.2</v>
      </c>
      <c r="G67" s="12">
        <v>27</v>
      </c>
      <c r="H67" s="8">
        <v>2.6</v>
      </c>
      <c r="I67" s="12">
        <v>0</v>
      </c>
    </row>
    <row r="69" spans="2:9" ht="15" customHeight="1" x14ac:dyDescent="0.2">
      <c r="B69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C2D4C-2355-412A-9A59-CA2CF15D5FDE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304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1</v>
      </c>
      <c r="D5" s="8">
        <v>0.02</v>
      </c>
      <c r="E5" s="12">
        <v>0</v>
      </c>
      <c r="F5" s="8">
        <v>0</v>
      </c>
      <c r="G5" s="12">
        <v>1</v>
      </c>
      <c r="H5" s="8">
        <v>0.05</v>
      </c>
      <c r="I5" s="12">
        <v>0</v>
      </c>
    </row>
    <row r="6" spans="2:9" ht="15" customHeight="1" x14ac:dyDescent="0.2">
      <c r="B6" t="s">
        <v>76</v>
      </c>
      <c r="C6" s="12">
        <v>596</v>
      </c>
      <c r="D6" s="8">
        <v>14.77</v>
      </c>
      <c r="E6" s="12">
        <v>158</v>
      </c>
      <c r="F6" s="8">
        <v>8.0399999999999991</v>
      </c>
      <c r="G6" s="12">
        <v>437</v>
      </c>
      <c r="H6" s="8">
        <v>21.53</v>
      </c>
      <c r="I6" s="12">
        <v>1</v>
      </c>
    </row>
    <row r="7" spans="2:9" ht="15" customHeight="1" x14ac:dyDescent="0.2">
      <c r="B7" t="s">
        <v>77</v>
      </c>
      <c r="C7" s="12">
        <v>128</v>
      </c>
      <c r="D7" s="8">
        <v>3.17</v>
      </c>
      <c r="E7" s="12">
        <v>47</v>
      </c>
      <c r="F7" s="8">
        <v>2.39</v>
      </c>
      <c r="G7" s="12">
        <v>81</v>
      </c>
      <c r="H7" s="8">
        <v>3.99</v>
      </c>
      <c r="I7" s="12">
        <v>0</v>
      </c>
    </row>
    <row r="8" spans="2:9" ht="15" customHeight="1" x14ac:dyDescent="0.2">
      <c r="B8" t="s">
        <v>78</v>
      </c>
      <c r="C8" s="12">
        <v>2</v>
      </c>
      <c r="D8" s="8">
        <v>0.05</v>
      </c>
      <c r="E8" s="12">
        <v>0</v>
      </c>
      <c r="F8" s="8">
        <v>0</v>
      </c>
      <c r="G8" s="12">
        <v>2</v>
      </c>
      <c r="H8" s="8">
        <v>0.1</v>
      </c>
      <c r="I8" s="12">
        <v>0</v>
      </c>
    </row>
    <row r="9" spans="2:9" ht="15" customHeight="1" x14ac:dyDescent="0.2">
      <c r="B9" t="s">
        <v>79</v>
      </c>
      <c r="C9" s="12">
        <v>64</v>
      </c>
      <c r="D9" s="8">
        <v>1.59</v>
      </c>
      <c r="E9" s="12">
        <v>5</v>
      </c>
      <c r="F9" s="8">
        <v>0.25</v>
      </c>
      <c r="G9" s="12">
        <v>59</v>
      </c>
      <c r="H9" s="8">
        <v>2.91</v>
      </c>
      <c r="I9" s="12">
        <v>0</v>
      </c>
    </row>
    <row r="10" spans="2:9" ht="15" customHeight="1" x14ac:dyDescent="0.2">
      <c r="B10" t="s">
        <v>80</v>
      </c>
      <c r="C10" s="12">
        <v>29</v>
      </c>
      <c r="D10" s="8">
        <v>0.72</v>
      </c>
      <c r="E10" s="12">
        <v>22</v>
      </c>
      <c r="F10" s="8">
        <v>1.1200000000000001</v>
      </c>
      <c r="G10" s="12">
        <v>7</v>
      </c>
      <c r="H10" s="8">
        <v>0.34</v>
      </c>
      <c r="I10" s="12">
        <v>0</v>
      </c>
    </row>
    <row r="11" spans="2:9" ht="15" customHeight="1" x14ac:dyDescent="0.2">
      <c r="B11" t="s">
        <v>81</v>
      </c>
      <c r="C11" s="12">
        <v>832</v>
      </c>
      <c r="D11" s="8">
        <v>20.62</v>
      </c>
      <c r="E11" s="12">
        <v>382</v>
      </c>
      <c r="F11" s="8">
        <v>19.45</v>
      </c>
      <c r="G11" s="12">
        <v>450</v>
      </c>
      <c r="H11" s="8">
        <v>22.17</v>
      </c>
      <c r="I11" s="12">
        <v>0</v>
      </c>
    </row>
    <row r="12" spans="2:9" ht="15" customHeight="1" x14ac:dyDescent="0.2">
      <c r="B12" t="s">
        <v>82</v>
      </c>
      <c r="C12" s="12">
        <v>26</v>
      </c>
      <c r="D12" s="8">
        <v>0.64</v>
      </c>
      <c r="E12" s="12">
        <v>5</v>
      </c>
      <c r="F12" s="8">
        <v>0.25</v>
      </c>
      <c r="G12" s="12">
        <v>21</v>
      </c>
      <c r="H12" s="8">
        <v>1.03</v>
      </c>
      <c r="I12" s="12">
        <v>0</v>
      </c>
    </row>
    <row r="13" spans="2:9" ht="15" customHeight="1" x14ac:dyDescent="0.2">
      <c r="B13" t="s">
        <v>83</v>
      </c>
      <c r="C13" s="12">
        <v>472</v>
      </c>
      <c r="D13" s="8">
        <v>11.7</v>
      </c>
      <c r="E13" s="12">
        <v>86</v>
      </c>
      <c r="F13" s="8">
        <v>4.38</v>
      </c>
      <c r="G13" s="12">
        <v>386</v>
      </c>
      <c r="H13" s="8">
        <v>19.010000000000002</v>
      </c>
      <c r="I13" s="12">
        <v>0</v>
      </c>
    </row>
    <row r="14" spans="2:9" ht="15" customHeight="1" x14ac:dyDescent="0.2">
      <c r="B14" t="s">
        <v>84</v>
      </c>
      <c r="C14" s="12">
        <v>287</v>
      </c>
      <c r="D14" s="8">
        <v>7.11</v>
      </c>
      <c r="E14" s="12">
        <v>117</v>
      </c>
      <c r="F14" s="8">
        <v>5.96</v>
      </c>
      <c r="G14" s="12">
        <v>169</v>
      </c>
      <c r="H14" s="8">
        <v>8.33</v>
      </c>
      <c r="I14" s="12">
        <v>1</v>
      </c>
    </row>
    <row r="15" spans="2:9" ht="15" customHeight="1" x14ac:dyDescent="0.2">
      <c r="B15" t="s">
        <v>85</v>
      </c>
      <c r="C15" s="12">
        <v>497</v>
      </c>
      <c r="D15" s="8">
        <v>12.32</v>
      </c>
      <c r="E15" s="12">
        <v>429</v>
      </c>
      <c r="F15" s="8">
        <v>21.84</v>
      </c>
      <c r="G15" s="12">
        <v>68</v>
      </c>
      <c r="H15" s="8">
        <v>3.35</v>
      </c>
      <c r="I15" s="12">
        <v>0</v>
      </c>
    </row>
    <row r="16" spans="2:9" ht="15" customHeight="1" x14ac:dyDescent="0.2">
      <c r="B16" t="s">
        <v>86</v>
      </c>
      <c r="C16" s="12">
        <v>541</v>
      </c>
      <c r="D16" s="8">
        <v>13.41</v>
      </c>
      <c r="E16" s="12">
        <v>410</v>
      </c>
      <c r="F16" s="8">
        <v>20.88</v>
      </c>
      <c r="G16" s="12">
        <v>131</v>
      </c>
      <c r="H16" s="8">
        <v>6.45</v>
      </c>
      <c r="I16" s="12">
        <v>0</v>
      </c>
    </row>
    <row r="17" spans="2:9" ht="15" customHeight="1" x14ac:dyDescent="0.2">
      <c r="B17" t="s">
        <v>87</v>
      </c>
      <c r="C17" s="12">
        <v>185</v>
      </c>
      <c r="D17" s="8">
        <v>4.59</v>
      </c>
      <c r="E17" s="12">
        <v>113</v>
      </c>
      <c r="F17" s="8">
        <v>5.75</v>
      </c>
      <c r="G17" s="12">
        <v>48</v>
      </c>
      <c r="H17" s="8">
        <v>2.36</v>
      </c>
      <c r="I17" s="12">
        <v>0</v>
      </c>
    </row>
    <row r="18" spans="2:9" ht="15" customHeight="1" x14ac:dyDescent="0.2">
      <c r="B18" t="s">
        <v>88</v>
      </c>
      <c r="C18" s="12">
        <v>259</v>
      </c>
      <c r="D18" s="8">
        <v>6.42</v>
      </c>
      <c r="E18" s="12">
        <v>162</v>
      </c>
      <c r="F18" s="8">
        <v>8.25</v>
      </c>
      <c r="G18" s="12">
        <v>83</v>
      </c>
      <c r="H18" s="8">
        <v>4.09</v>
      </c>
      <c r="I18" s="12">
        <v>0</v>
      </c>
    </row>
    <row r="19" spans="2:9" ht="15" customHeight="1" x14ac:dyDescent="0.2">
      <c r="B19" t="s">
        <v>89</v>
      </c>
      <c r="C19" s="12">
        <v>115</v>
      </c>
      <c r="D19" s="8">
        <v>2.85</v>
      </c>
      <c r="E19" s="12">
        <v>28</v>
      </c>
      <c r="F19" s="8">
        <v>1.43</v>
      </c>
      <c r="G19" s="12">
        <v>87</v>
      </c>
      <c r="H19" s="8">
        <v>4.29</v>
      </c>
      <c r="I19" s="12">
        <v>0</v>
      </c>
    </row>
    <row r="20" spans="2:9" ht="15" customHeight="1" x14ac:dyDescent="0.2">
      <c r="B20" s="9" t="s">
        <v>285</v>
      </c>
      <c r="C20" s="12">
        <f>SUM(LTBL_40137[総数／事業所数])</f>
        <v>4034</v>
      </c>
      <c r="E20" s="12">
        <f>SUBTOTAL(109,LTBL_40137[個人／事業所数])</f>
        <v>1964</v>
      </c>
      <c r="G20" s="12">
        <f>SUBTOTAL(109,LTBL_40137[法人／事業所数])</f>
        <v>2030</v>
      </c>
      <c r="I20" s="12">
        <f>SUBTOTAL(109,LTBL_40137[法人以外の団体／事業所数])</f>
        <v>2</v>
      </c>
    </row>
    <row r="21" spans="2:9" ht="15" customHeight="1" x14ac:dyDescent="0.2">
      <c r="E21" s="11">
        <f>LTBL_40137[[#Totals],[個人／事業所数]]/LTBL_40137[[#Totals],[総数／事業所数]]</f>
        <v>0.48686167575607336</v>
      </c>
      <c r="G21" s="11">
        <f>LTBL_40137[[#Totals],[法人／事業所数]]/LTBL_40137[[#Totals],[総数／事業所数]]</f>
        <v>0.50322260783341599</v>
      </c>
      <c r="I21" s="11">
        <f>LTBL_40137[[#Totals],[法人以外の団体／事業所数]]/LTBL_40137[[#Totals],[総数／事業所数]]</f>
        <v>4.9578582052553293E-4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112</v>
      </c>
      <c r="C24" s="12">
        <v>465</v>
      </c>
      <c r="D24" s="8">
        <v>11.53</v>
      </c>
      <c r="E24" s="12">
        <v>422</v>
      </c>
      <c r="F24" s="8">
        <v>21.49</v>
      </c>
      <c r="G24" s="12">
        <v>43</v>
      </c>
      <c r="H24" s="8">
        <v>2.12</v>
      </c>
      <c r="I24" s="12">
        <v>0</v>
      </c>
    </row>
    <row r="25" spans="2:9" ht="15" customHeight="1" x14ac:dyDescent="0.2">
      <c r="B25" t="s">
        <v>113</v>
      </c>
      <c r="C25" s="12">
        <v>456</v>
      </c>
      <c r="D25" s="8">
        <v>11.3</v>
      </c>
      <c r="E25" s="12">
        <v>371</v>
      </c>
      <c r="F25" s="8">
        <v>18.89</v>
      </c>
      <c r="G25" s="12">
        <v>85</v>
      </c>
      <c r="H25" s="8">
        <v>4.1900000000000004</v>
      </c>
      <c r="I25" s="12">
        <v>0</v>
      </c>
    </row>
    <row r="26" spans="2:9" ht="15" customHeight="1" x14ac:dyDescent="0.2">
      <c r="B26" t="s">
        <v>109</v>
      </c>
      <c r="C26" s="12">
        <v>326</v>
      </c>
      <c r="D26" s="8">
        <v>8.08</v>
      </c>
      <c r="E26" s="12">
        <v>56</v>
      </c>
      <c r="F26" s="8">
        <v>2.85</v>
      </c>
      <c r="G26" s="12">
        <v>270</v>
      </c>
      <c r="H26" s="8">
        <v>13.3</v>
      </c>
      <c r="I26" s="12">
        <v>0</v>
      </c>
    </row>
    <row r="27" spans="2:9" ht="15" customHeight="1" x14ac:dyDescent="0.2">
      <c r="B27" t="s">
        <v>107</v>
      </c>
      <c r="C27" s="12">
        <v>236</v>
      </c>
      <c r="D27" s="8">
        <v>5.85</v>
      </c>
      <c r="E27" s="12">
        <v>109</v>
      </c>
      <c r="F27" s="8">
        <v>5.55</v>
      </c>
      <c r="G27" s="12">
        <v>127</v>
      </c>
      <c r="H27" s="8">
        <v>6.26</v>
      </c>
      <c r="I27" s="12">
        <v>0</v>
      </c>
    </row>
    <row r="28" spans="2:9" ht="15" customHeight="1" x14ac:dyDescent="0.2">
      <c r="B28" t="s">
        <v>98</v>
      </c>
      <c r="C28" s="12">
        <v>229</v>
      </c>
      <c r="D28" s="8">
        <v>5.68</v>
      </c>
      <c r="E28" s="12">
        <v>47</v>
      </c>
      <c r="F28" s="8">
        <v>2.39</v>
      </c>
      <c r="G28" s="12">
        <v>182</v>
      </c>
      <c r="H28" s="8">
        <v>8.9700000000000006</v>
      </c>
      <c r="I28" s="12">
        <v>0</v>
      </c>
    </row>
    <row r="29" spans="2:9" ht="15" customHeight="1" x14ac:dyDescent="0.2">
      <c r="B29" t="s">
        <v>99</v>
      </c>
      <c r="C29" s="12">
        <v>206</v>
      </c>
      <c r="D29" s="8">
        <v>5.1100000000000003</v>
      </c>
      <c r="E29" s="12">
        <v>68</v>
      </c>
      <c r="F29" s="8">
        <v>3.46</v>
      </c>
      <c r="G29" s="12">
        <v>138</v>
      </c>
      <c r="H29" s="8">
        <v>6.8</v>
      </c>
      <c r="I29" s="12">
        <v>0</v>
      </c>
    </row>
    <row r="30" spans="2:9" ht="15" customHeight="1" x14ac:dyDescent="0.2">
      <c r="B30" t="s">
        <v>114</v>
      </c>
      <c r="C30" s="12">
        <v>185</v>
      </c>
      <c r="D30" s="8">
        <v>4.59</v>
      </c>
      <c r="E30" s="12">
        <v>113</v>
      </c>
      <c r="F30" s="8">
        <v>5.75</v>
      </c>
      <c r="G30" s="12">
        <v>48</v>
      </c>
      <c r="H30" s="8">
        <v>2.36</v>
      </c>
      <c r="I30" s="12">
        <v>0</v>
      </c>
    </row>
    <row r="31" spans="2:9" ht="15" customHeight="1" x14ac:dyDescent="0.2">
      <c r="B31" t="s">
        <v>115</v>
      </c>
      <c r="C31" s="12">
        <v>183</v>
      </c>
      <c r="D31" s="8">
        <v>4.54</v>
      </c>
      <c r="E31" s="12">
        <v>160</v>
      </c>
      <c r="F31" s="8">
        <v>8.15</v>
      </c>
      <c r="G31" s="12">
        <v>23</v>
      </c>
      <c r="H31" s="8">
        <v>1.1299999999999999</v>
      </c>
      <c r="I31" s="12">
        <v>0</v>
      </c>
    </row>
    <row r="32" spans="2:9" ht="15" customHeight="1" x14ac:dyDescent="0.2">
      <c r="B32" t="s">
        <v>110</v>
      </c>
      <c r="C32" s="12">
        <v>174</v>
      </c>
      <c r="D32" s="8">
        <v>4.3099999999999996</v>
      </c>
      <c r="E32" s="12">
        <v>80</v>
      </c>
      <c r="F32" s="8">
        <v>4.07</v>
      </c>
      <c r="G32" s="12">
        <v>93</v>
      </c>
      <c r="H32" s="8">
        <v>4.58</v>
      </c>
      <c r="I32" s="12">
        <v>1</v>
      </c>
    </row>
    <row r="33" spans="2:9" ht="15" customHeight="1" x14ac:dyDescent="0.2">
      <c r="B33" t="s">
        <v>100</v>
      </c>
      <c r="C33" s="12">
        <v>161</v>
      </c>
      <c r="D33" s="8">
        <v>3.99</v>
      </c>
      <c r="E33" s="12">
        <v>43</v>
      </c>
      <c r="F33" s="8">
        <v>2.19</v>
      </c>
      <c r="G33" s="12">
        <v>117</v>
      </c>
      <c r="H33" s="8">
        <v>5.76</v>
      </c>
      <c r="I33" s="12">
        <v>1</v>
      </c>
    </row>
    <row r="34" spans="2:9" ht="15" customHeight="1" x14ac:dyDescent="0.2">
      <c r="B34" t="s">
        <v>105</v>
      </c>
      <c r="C34" s="12">
        <v>157</v>
      </c>
      <c r="D34" s="8">
        <v>3.89</v>
      </c>
      <c r="E34" s="12">
        <v>124</v>
      </c>
      <c r="F34" s="8">
        <v>6.31</v>
      </c>
      <c r="G34" s="12">
        <v>33</v>
      </c>
      <c r="H34" s="8">
        <v>1.63</v>
      </c>
      <c r="I34" s="12">
        <v>0</v>
      </c>
    </row>
    <row r="35" spans="2:9" ht="15" customHeight="1" x14ac:dyDescent="0.2">
      <c r="B35" t="s">
        <v>106</v>
      </c>
      <c r="C35" s="12">
        <v>129</v>
      </c>
      <c r="D35" s="8">
        <v>3.2</v>
      </c>
      <c r="E35" s="12">
        <v>78</v>
      </c>
      <c r="F35" s="8">
        <v>3.97</v>
      </c>
      <c r="G35" s="12">
        <v>51</v>
      </c>
      <c r="H35" s="8">
        <v>2.5099999999999998</v>
      </c>
      <c r="I35" s="12">
        <v>0</v>
      </c>
    </row>
    <row r="36" spans="2:9" ht="15" customHeight="1" x14ac:dyDescent="0.2">
      <c r="B36" t="s">
        <v>108</v>
      </c>
      <c r="C36" s="12">
        <v>125</v>
      </c>
      <c r="D36" s="8">
        <v>3.1</v>
      </c>
      <c r="E36" s="12">
        <v>26</v>
      </c>
      <c r="F36" s="8">
        <v>1.32</v>
      </c>
      <c r="G36" s="12">
        <v>99</v>
      </c>
      <c r="H36" s="8">
        <v>4.88</v>
      </c>
      <c r="I36" s="12">
        <v>0</v>
      </c>
    </row>
    <row r="37" spans="2:9" ht="15" customHeight="1" x14ac:dyDescent="0.2">
      <c r="B37" t="s">
        <v>111</v>
      </c>
      <c r="C37" s="12">
        <v>92</v>
      </c>
      <c r="D37" s="8">
        <v>2.2799999999999998</v>
      </c>
      <c r="E37" s="12">
        <v>34</v>
      </c>
      <c r="F37" s="8">
        <v>1.73</v>
      </c>
      <c r="G37" s="12">
        <v>58</v>
      </c>
      <c r="H37" s="8">
        <v>2.86</v>
      </c>
      <c r="I37" s="12">
        <v>0</v>
      </c>
    </row>
    <row r="38" spans="2:9" ht="15" customHeight="1" x14ac:dyDescent="0.2">
      <c r="B38" t="s">
        <v>116</v>
      </c>
      <c r="C38" s="12">
        <v>76</v>
      </c>
      <c r="D38" s="8">
        <v>1.88</v>
      </c>
      <c r="E38" s="12">
        <v>2</v>
      </c>
      <c r="F38" s="8">
        <v>0.1</v>
      </c>
      <c r="G38" s="12">
        <v>60</v>
      </c>
      <c r="H38" s="8">
        <v>2.96</v>
      </c>
      <c r="I38" s="12">
        <v>0</v>
      </c>
    </row>
    <row r="39" spans="2:9" ht="15" customHeight="1" x14ac:dyDescent="0.2">
      <c r="B39" t="s">
        <v>104</v>
      </c>
      <c r="C39" s="12">
        <v>72</v>
      </c>
      <c r="D39" s="8">
        <v>1.78</v>
      </c>
      <c r="E39" s="12">
        <v>40</v>
      </c>
      <c r="F39" s="8">
        <v>2.04</v>
      </c>
      <c r="G39" s="12">
        <v>32</v>
      </c>
      <c r="H39" s="8">
        <v>1.58</v>
      </c>
      <c r="I39" s="12">
        <v>0</v>
      </c>
    </row>
    <row r="40" spans="2:9" ht="15" customHeight="1" x14ac:dyDescent="0.2">
      <c r="B40" t="s">
        <v>117</v>
      </c>
      <c r="C40" s="12">
        <v>63</v>
      </c>
      <c r="D40" s="8">
        <v>1.56</v>
      </c>
      <c r="E40" s="12">
        <v>3</v>
      </c>
      <c r="F40" s="8">
        <v>0.15</v>
      </c>
      <c r="G40" s="12">
        <v>60</v>
      </c>
      <c r="H40" s="8">
        <v>2.96</v>
      </c>
      <c r="I40" s="12">
        <v>0</v>
      </c>
    </row>
    <row r="41" spans="2:9" ht="15" customHeight="1" x14ac:dyDescent="0.2">
      <c r="B41" t="s">
        <v>118</v>
      </c>
      <c r="C41" s="12">
        <v>58</v>
      </c>
      <c r="D41" s="8">
        <v>1.44</v>
      </c>
      <c r="E41" s="12">
        <v>28</v>
      </c>
      <c r="F41" s="8">
        <v>1.43</v>
      </c>
      <c r="G41" s="12">
        <v>30</v>
      </c>
      <c r="H41" s="8">
        <v>1.48</v>
      </c>
      <c r="I41" s="12">
        <v>0</v>
      </c>
    </row>
    <row r="42" spans="2:9" ht="15" customHeight="1" x14ac:dyDescent="0.2">
      <c r="B42" t="s">
        <v>126</v>
      </c>
      <c r="C42" s="12">
        <v>57</v>
      </c>
      <c r="D42" s="8">
        <v>1.41</v>
      </c>
      <c r="E42" s="12">
        <v>5</v>
      </c>
      <c r="F42" s="8">
        <v>0.25</v>
      </c>
      <c r="G42" s="12">
        <v>52</v>
      </c>
      <c r="H42" s="8">
        <v>2.56</v>
      </c>
      <c r="I42" s="12">
        <v>0</v>
      </c>
    </row>
    <row r="43" spans="2:9" ht="15" customHeight="1" x14ac:dyDescent="0.2">
      <c r="B43" t="s">
        <v>103</v>
      </c>
      <c r="C43" s="12">
        <v>56</v>
      </c>
      <c r="D43" s="8">
        <v>1.39</v>
      </c>
      <c r="E43" s="12">
        <v>8</v>
      </c>
      <c r="F43" s="8">
        <v>0.41</v>
      </c>
      <c r="G43" s="12">
        <v>48</v>
      </c>
      <c r="H43" s="8">
        <v>2.36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170</v>
      </c>
      <c r="C47" s="12">
        <v>232</v>
      </c>
      <c r="D47" s="8">
        <v>5.75</v>
      </c>
      <c r="E47" s="12">
        <v>197</v>
      </c>
      <c r="F47" s="8">
        <v>10.029999999999999</v>
      </c>
      <c r="G47" s="12">
        <v>35</v>
      </c>
      <c r="H47" s="8">
        <v>1.72</v>
      </c>
      <c r="I47" s="12">
        <v>0</v>
      </c>
    </row>
    <row r="48" spans="2:9" ht="15" customHeight="1" x14ac:dyDescent="0.2">
      <c r="B48" t="s">
        <v>164</v>
      </c>
      <c r="C48" s="12">
        <v>184</v>
      </c>
      <c r="D48" s="8">
        <v>4.5599999999999996</v>
      </c>
      <c r="E48" s="12">
        <v>36</v>
      </c>
      <c r="F48" s="8">
        <v>1.83</v>
      </c>
      <c r="G48" s="12">
        <v>148</v>
      </c>
      <c r="H48" s="8">
        <v>7.29</v>
      </c>
      <c r="I48" s="12">
        <v>0</v>
      </c>
    </row>
    <row r="49" spans="2:9" ht="15" customHeight="1" x14ac:dyDescent="0.2">
      <c r="B49" t="s">
        <v>167</v>
      </c>
      <c r="C49" s="12">
        <v>146</v>
      </c>
      <c r="D49" s="8">
        <v>3.62</v>
      </c>
      <c r="E49" s="12">
        <v>137</v>
      </c>
      <c r="F49" s="8">
        <v>6.98</v>
      </c>
      <c r="G49" s="12">
        <v>9</v>
      </c>
      <c r="H49" s="8">
        <v>0.44</v>
      </c>
      <c r="I49" s="12">
        <v>0</v>
      </c>
    </row>
    <row r="50" spans="2:9" ht="15" customHeight="1" x14ac:dyDescent="0.2">
      <c r="B50" t="s">
        <v>169</v>
      </c>
      <c r="C50" s="12">
        <v>117</v>
      </c>
      <c r="D50" s="8">
        <v>2.9</v>
      </c>
      <c r="E50" s="12">
        <v>115</v>
      </c>
      <c r="F50" s="8">
        <v>5.86</v>
      </c>
      <c r="G50" s="12">
        <v>2</v>
      </c>
      <c r="H50" s="8">
        <v>0.1</v>
      </c>
      <c r="I50" s="12">
        <v>0</v>
      </c>
    </row>
    <row r="51" spans="2:9" ht="15" customHeight="1" x14ac:dyDescent="0.2">
      <c r="B51" t="s">
        <v>166</v>
      </c>
      <c r="C51" s="12">
        <v>113</v>
      </c>
      <c r="D51" s="8">
        <v>2.8</v>
      </c>
      <c r="E51" s="12">
        <v>98</v>
      </c>
      <c r="F51" s="8">
        <v>4.99</v>
      </c>
      <c r="G51" s="12">
        <v>15</v>
      </c>
      <c r="H51" s="8">
        <v>0.74</v>
      </c>
      <c r="I51" s="12">
        <v>0</v>
      </c>
    </row>
    <row r="52" spans="2:9" ht="15" customHeight="1" x14ac:dyDescent="0.2">
      <c r="B52" t="s">
        <v>172</v>
      </c>
      <c r="C52" s="12">
        <v>110</v>
      </c>
      <c r="D52" s="8">
        <v>2.73</v>
      </c>
      <c r="E52" s="12">
        <v>94</v>
      </c>
      <c r="F52" s="8">
        <v>4.79</v>
      </c>
      <c r="G52" s="12">
        <v>16</v>
      </c>
      <c r="H52" s="8">
        <v>0.79</v>
      </c>
      <c r="I52" s="12">
        <v>0</v>
      </c>
    </row>
    <row r="53" spans="2:9" ht="15" customHeight="1" x14ac:dyDescent="0.2">
      <c r="B53" t="s">
        <v>171</v>
      </c>
      <c r="C53" s="12">
        <v>108</v>
      </c>
      <c r="D53" s="8">
        <v>2.68</v>
      </c>
      <c r="E53" s="12">
        <v>81</v>
      </c>
      <c r="F53" s="8">
        <v>4.12</v>
      </c>
      <c r="G53" s="12">
        <v>27</v>
      </c>
      <c r="H53" s="8">
        <v>1.33</v>
      </c>
      <c r="I53" s="12">
        <v>0</v>
      </c>
    </row>
    <row r="54" spans="2:9" ht="15" customHeight="1" x14ac:dyDescent="0.2">
      <c r="B54" t="s">
        <v>162</v>
      </c>
      <c r="C54" s="12">
        <v>91</v>
      </c>
      <c r="D54" s="8">
        <v>2.2599999999999998</v>
      </c>
      <c r="E54" s="12">
        <v>19</v>
      </c>
      <c r="F54" s="8">
        <v>0.97</v>
      </c>
      <c r="G54" s="12">
        <v>72</v>
      </c>
      <c r="H54" s="8">
        <v>3.55</v>
      </c>
      <c r="I54" s="12">
        <v>0</v>
      </c>
    </row>
    <row r="55" spans="2:9" ht="15" customHeight="1" x14ac:dyDescent="0.2">
      <c r="B55" t="s">
        <v>168</v>
      </c>
      <c r="C55" s="12">
        <v>84</v>
      </c>
      <c r="D55" s="8">
        <v>2.08</v>
      </c>
      <c r="E55" s="12">
        <v>78</v>
      </c>
      <c r="F55" s="8">
        <v>3.97</v>
      </c>
      <c r="G55" s="12">
        <v>6</v>
      </c>
      <c r="H55" s="8">
        <v>0.3</v>
      </c>
      <c r="I55" s="12">
        <v>0</v>
      </c>
    </row>
    <row r="56" spans="2:9" ht="15" customHeight="1" x14ac:dyDescent="0.2">
      <c r="B56" t="s">
        <v>160</v>
      </c>
      <c r="C56" s="12">
        <v>79</v>
      </c>
      <c r="D56" s="8">
        <v>1.96</v>
      </c>
      <c r="E56" s="12">
        <v>17</v>
      </c>
      <c r="F56" s="8">
        <v>0.87</v>
      </c>
      <c r="G56" s="12">
        <v>62</v>
      </c>
      <c r="H56" s="8">
        <v>3.05</v>
      </c>
      <c r="I56" s="12">
        <v>0</v>
      </c>
    </row>
    <row r="57" spans="2:9" ht="15" customHeight="1" x14ac:dyDescent="0.2">
      <c r="B57" t="s">
        <v>154</v>
      </c>
      <c r="C57" s="12">
        <v>75</v>
      </c>
      <c r="D57" s="8">
        <v>1.86</v>
      </c>
      <c r="E57" s="12">
        <v>14</v>
      </c>
      <c r="F57" s="8">
        <v>0.71</v>
      </c>
      <c r="G57" s="12">
        <v>61</v>
      </c>
      <c r="H57" s="8">
        <v>3</v>
      </c>
      <c r="I57" s="12">
        <v>0</v>
      </c>
    </row>
    <row r="58" spans="2:9" ht="15" customHeight="1" x14ac:dyDescent="0.2">
      <c r="B58" t="s">
        <v>159</v>
      </c>
      <c r="C58" s="12">
        <v>74</v>
      </c>
      <c r="D58" s="8">
        <v>1.83</v>
      </c>
      <c r="E58" s="12">
        <v>49</v>
      </c>
      <c r="F58" s="8">
        <v>2.4900000000000002</v>
      </c>
      <c r="G58" s="12">
        <v>25</v>
      </c>
      <c r="H58" s="8">
        <v>1.23</v>
      </c>
      <c r="I58" s="12">
        <v>0</v>
      </c>
    </row>
    <row r="59" spans="2:9" ht="15" customHeight="1" x14ac:dyDescent="0.2">
      <c r="B59" t="s">
        <v>182</v>
      </c>
      <c r="C59" s="12">
        <v>71</v>
      </c>
      <c r="D59" s="8">
        <v>1.76</v>
      </c>
      <c r="E59" s="12">
        <v>32</v>
      </c>
      <c r="F59" s="8">
        <v>1.63</v>
      </c>
      <c r="G59" s="12">
        <v>39</v>
      </c>
      <c r="H59" s="8">
        <v>1.92</v>
      </c>
      <c r="I59" s="12">
        <v>0</v>
      </c>
    </row>
    <row r="60" spans="2:9" ht="15" customHeight="1" x14ac:dyDescent="0.2">
      <c r="B60" t="s">
        <v>163</v>
      </c>
      <c r="C60" s="12">
        <v>69</v>
      </c>
      <c r="D60" s="8">
        <v>1.71</v>
      </c>
      <c r="E60" s="12">
        <v>6</v>
      </c>
      <c r="F60" s="8">
        <v>0.31</v>
      </c>
      <c r="G60" s="12">
        <v>63</v>
      </c>
      <c r="H60" s="8">
        <v>3.1</v>
      </c>
      <c r="I60" s="12">
        <v>0</v>
      </c>
    </row>
    <row r="61" spans="2:9" ht="15" customHeight="1" x14ac:dyDescent="0.2">
      <c r="B61" t="s">
        <v>165</v>
      </c>
      <c r="C61" s="12">
        <v>68</v>
      </c>
      <c r="D61" s="8">
        <v>1.69</v>
      </c>
      <c r="E61" s="12">
        <v>26</v>
      </c>
      <c r="F61" s="8">
        <v>1.32</v>
      </c>
      <c r="G61" s="12">
        <v>42</v>
      </c>
      <c r="H61" s="8">
        <v>2.0699999999999998</v>
      </c>
      <c r="I61" s="12">
        <v>0</v>
      </c>
    </row>
    <row r="62" spans="2:9" ht="15" customHeight="1" x14ac:dyDescent="0.2">
      <c r="B62" t="s">
        <v>156</v>
      </c>
      <c r="C62" s="12">
        <v>65</v>
      </c>
      <c r="D62" s="8">
        <v>1.61</v>
      </c>
      <c r="E62" s="12">
        <v>23</v>
      </c>
      <c r="F62" s="8">
        <v>1.17</v>
      </c>
      <c r="G62" s="12">
        <v>42</v>
      </c>
      <c r="H62" s="8">
        <v>2.0699999999999998</v>
      </c>
      <c r="I62" s="12">
        <v>0</v>
      </c>
    </row>
    <row r="63" spans="2:9" ht="15" customHeight="1" x14ac:dyDescent="0.2">
      <c r="B63" t="s">
        <v>174</v>
      </c>
      <c r="C63" s="12">
        <v>64</v>
      </c>
      <c r="D63" s="8">
        <v>1.59</v>
      </c>
      <c r="E63" s="12">
        <v>16</v>
      </c>
      <c r="F63" s="8">
        <v>0.81</v>
      </c>
      <c r="G63" s="12">
        <v>47</v>
      </c>
      <c r="H63" s="8">
        <v>2.3199999999999998</v>
      </c>
      <c r="I63" s="12">
        <v>1</v>
      </c>
    </row>
    <row r="64" spans="2:9" ht="15" customHeight="1" x14ac:dyDescent="0.2">
      <c r="B64" t="s">
        <v>183</v>
      </c>
      <c r="C64" s="12">
        <v>64</v>
      </c>
      <c r="D64" s="8">
        <v>1.59</v>
      </c>
      <c r="E64" s="12">
        <v>63</v>
      </c>
      <c r="F64" s="8">
        <v>3.21</v>
      </c>
      <c r="G64" s="12">
        <v>1</v>
      </c>
      <c r="H64" s="8">
        <v>0.05</v>
      </c>
      <c r="I64" s="12">
        <v>0</v>
      </c>
    </row>
    <row r="65" spans="2:9" ht="15" customHeight="1" x14ac:dyDescent="0.2">
      <c r="B65" t="s">
        <v>187</v>
      </c>
      <c r="C65" s="12">
        <v>62</v>
      </c>
      <c r="D65" s="8">
        <v>1.54</v>
      </c>
      <c r="E65" s="12">
        <v>15</v>
      </c>
      <c r="F65" s="8">
        <v>0.76</v>
      </c>
      <c r="G65" s="12">
        <v>47</v>
      </c>
      <c r="H65" s="8">
        <v>2.3199999999999998</v>
      </c>
      <c r="I65" s="12">
        <v>0</v>
      </c>
    </row>
    <row r="66" spans="2:9" ht="15" customHeight="1" x14ac:dyDescent="0.2">
      <c r="B66" t="s">
        <v>188</v>
      </c>
      <c r="C66" s="12">
        <v>58</v>
      </c>
      <c r="D66" s="8">
        <v>1.44</v>
      </c>
      <c r="E66" s="12">
        <v>8</v>
      </c>
      <c r="F66" s="8">
        <v>0.41</v>
      </c>
      <c r="G66" s="12">
        <v>50</v>
      </c>
      <c r="H66" s="8">
        <v>2.46</v>
      </c>
      <c r="I66" s="12">
        <v>0</v>
      </c>
    </row>
    <row r="68" spans="2:9" ht="15" customHeight="1" x14ac:dyDescent="0.2">
      <c r="B68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D67F1-6660-43BC-88C0-1BE5F376AB2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305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377</v>
      </c>
      <c r="D6" s="8">
        <v>12.81</v>
      </c>
      <c r="E6" s="12">
        <v>147</v>
      </c>
      <c r="F6" s="8">
        <v>7.98</v>
      </c>
      <c r="G6" s="12">
        <v>230</v>
      </c>
      <c r="H6" s="8">
        <v>21.16</v>
      </c>
      <c r="I6" s="12">
        <v>0</v>
      </c>
    </row>
    <row r="7" spans="2:9" ht="15" customHeight="1" x14ac:dyDescent="0.2">
      <c r="B7" t="s">
        <v>77</v>
      </c>
      <c r="C7" s="12">
        <v>137</v>
      </c>
      <c r="D7" s="8">
        <v>4.66</v>
      </c>
      <c r="E7" s="12">
        <v>56</v>
      </c>
      <c r="F7" s="8">
        <v>3.04</v>
      </c>
      <c r="G7" s="12">
        <v>81</v>
      </c>
      <c r="H7" s="8">
        <v>7.45</v>
      </c>
      <c r="I7" s="12">
        <v>0</v>
      </c>
    </row>
    <row r="8" spans="2:9" ht="15" customHeight="1" x14ac:dyDescent="0.2">
      <c r="B8" t="s">
        <v>78</v>
      </c>
      <c r="C8" s="12">
        <v>7</v>
      </c>
      <c r="D8" s="8">
        <v>0.24</v>
      </c>
      <c r="E8" s="12">
        <v>0</v>
      </c>
      <c r="F8" s="8">
        <v>0</v>
      </c>
      <c r="G8" s="12">
        <v>7</v>
      </c>
      <c r="H8" s="8">
        <v>0.64</v>
      </c>
      <c r="I8" s="12">
        <v>0</v>
      </c>
    </row>
    <row r="9" spans="2:9" ht="15" customHeight="1" x14ac:dyDescent="0.2">
      <c r="B9" t="s">
        <v>79</v>
      </c>
      <c r="C9" s="12">
        <v>14</v>
      </c>
      <c r="D9" s="8">
        <v>0.48</v>
      </c>
      <c r="E9" s="12">
        <v>2</v>
      </c>
      <c r="F9" s="8">
        <v>0.11</v>
      </c>
      <c r="G9" s="12">
        <v>12</v>
      </c>
      <c r="H9" s="8">
        <v>1.1000000000000001</v>
      </c>
      <c r="I9" s="12">
        <v>0</v>
      </c>
    </row>
    <row r="10" spans="2:9" ht="15" customHeight="1" x14ac:dyDescent="0.2">
      <c r="B10" t="s">
        <v>80</v>
      </c>
      <c r="C10" s="12">
        <v>29</v>
      </c>
      <c r="D10" s="8">
        <v>0.99</v>
      </c>
      <c r="E10" s="12">
        <v>11</v>
      </c>
      <c r="F10" s="8">
        <v>0.6</v>
      </c>
      <c r="G10" s="12">
        <v>18</v>
      </c>
      <c r="H10" s="8">
        <v>1.66</v>
      </c>
      <c r="I10" s="12">
        <v>0</v>
      </c>
    </row>
    <row r="11" spans="2:9" ht="15" customHeight="1" x14ac:dyDescent="0.2">
      <c r="B11" t="s">
        <v>81</v>
      </c>
      <c r="C11" s="12">
        <v>821</v>
      </c>
      <c r="D11" s="8">
        <v>27.9</v>
      </c>
      <c r="E11" s="12">
        <v>459</v>
      </c>
      <c r="F11" s="8">
        <v>24.91</v>
      </c>
      <c r="G11" s="12">
        <v>360</v>
      </c>
      <c r="H11" s="8">
        <v>33.119999999999997</v>
      </c>
      <c r="I11" s="12">
        <v>2</v>
      </c>
    </row>
    <row r="12" spans="2:9" ht="15" customHeight="1" x14ac:dyDescent="0.2">
      <c r="B12" t="s">
        <v>82</v>
      </c>
      <c r="C12" s="12">
        <v>22</v>
      </c>
      <c r="D12" s="8">
        <v>0.75</v>
      </c>
      <c r="E12" s="12">
        <v>5</v>
      </c>
      <c r="F12" s="8">
        <v>0.27</v>
      </c>
      <c r="G12" s="12">
        <v>17</v>
      </c>
      <c r="H12" s="8">
        <v>1.56</v>
      </c>
      <c r="I12" s="12">
        <v>0</v>
      </c>
    </row>
    <row r="13" spans="2:9" ht="15" customHeight="1" x14ac:dyDescent="0.2">
      <c r="B13" t="s">
        <v>83</v>
      </c>
      <c r="C13" s="12">
        <v>214</v>
      </c>
      <c r="D13" s="8">
        <v>7.27</v>
      </c>
      <c r="E13" s="12">
        <v>108</v>
      </c>
      <c r="F13" s="8">
        <v>5.86</v>
      </c>
      <c r="G13" s="12">
        <v>106</v>
      </c>
      <c r="H13" s="8">
        <v>9.75</v>
      </c>
      <c r="I13" s="12">
        <v>0</v>
      </c>
    </row>
    <row r="14" spans="2:9" ht="15" customHeight="1" x14ac:dyDescent="0.2">
      <c r="B14" t="s">
        <v>84</v>
      </c>
      <c r="C14" s="12">
        <v>108</v>
      </c>
      <c r="D14" s="8">
        <v>3.67</v>
      </c>
      <c r="E14" s="12">
        <v>71</v>
      </c>
      <c r="F14" s="8">
        <v>3.85</v>
      </c>
      <c r="G14" s="12">
        <v>36</v>
      </c>
      <c r="H14" s="8">
        <v>3.31</v>
      </c>
      <c r="I14" s="12">
        <v>0</v>
      </c>
    </row>
    <row r="15" spans="2:9" ht="15" customHeight="1" x14ac:dyDescent="0.2">
      <c r="B15" t="s">
        <v>85</v>
      </c>
      <c r="C15" s="12">
        <v>430</v>
      </c>
      <c r="D15" s="8">
        <v>14.61</v>
      </c>
      <c r="E15" s="12">
        <v>382</v>
      </c>
      <c r="F15" s="8">
        <v>20.73</v>
      </c>
      <c r="G15" s="12">
        <v>48</v>
      </c>
      <c r="H15" s="8">
        <v>4.42</v>
      </c>
      <c r="I15" s="12">
        <v>0</v>
      </c>
    </row>
    <row r="16" spans="2:9" ht="15" customHeight="1" x14ac:dyDescent="0.2">
      <c r="B16" t="s">
        <v>86</v>
      </c>
      <c r="C16" s="12">
        <v>421</v>
      </c>
      <c r="D16" s="8">
        <v>14.31</v>
      </c>
      <c r="E16" s="12">
        <v>362</v>
      </c>
      <c r="F16" s="8">
        <v>19.64</v>
      </c>
      <c r="G16" s="12">
        <v>58</v>
      </c>
      <c r="H16" s="8">
        <v>5.34</v>
      </c>
      <c r="I16" s="12">
        <v>1</v>
      </c>
    </row>
    <row r="17" spans="2:9" ht="15" customHeight="1" x14ac:dyDescent="0.2">
      <c r="B17" t="s">
        <v>87</v>
      </c>
      <c r="C17" s="12">
        <v>104</v>
      </c>
      <c r="D17" s="8">
        <v>3.53</v>
      </c>
      <c r="E17" s="12">
        <v>76</v>
      </c>
      <c r="F17" s="8">
        <v>4.12</v>
      </c>
      <c r="G17" s="12">
        <v>20</v>
      </c>
      <c r="H17" s="8">
        <v>1.84</v>
      </c>
      <c r="I17" s="12">
        <v>0</v>
      </c>
    </row>
    <row r="18" spans="2:9" ht="15" customHeight="1" x14ac:dyDescent="0.2">
      <c r="B18" t="s">
        <v>88</v>
      </c>
      <c r="C18" s="12">
        <v>171</v>
      </c>
      <c r="D18" s="8">
        <v>5.81</v>
      </c>
      <c r="E18" s="12">
        <v>108</v>
      </c>
      <c r="F18" s="8">
        <v>5.86</v>
      </c>
      <c r="G18" s="12">
        <v>63</v>
      </c>
      <c r="H18" s="8">
        <v>5.8</v>
      </c>
      <c r="I18" s="12">
        <v>0</v>
      </c>
    </row>
    <row r="19" spans="2:9" ht="15" customHeight="1" x14ac:dyDescent="0.2">
      <c r="B19" t="s">
        <v>89</v>
      </c>
      <c r="C19" s="12">
        <v>88</v>
      </c>
      <c r="D19" s="8">
        <v>2.99</v>
      </c>
      <c r="E19" s="12">
        <v>56</v>
      </c>
      <c r="F19" s="8">
        <v>3.04</v>
      </c>
      <c r="G19" s="12">
        <v>31</v>
      </c>
      <c r="H19" s="8">
        <v>2.85</v>
      </c>
      <c r="I19" s="12">
        <v>1</v>
      </c>
    </row>
    <row r="20" spans="2:9" ht="15" customHeight="1" x14ac:dyDescent="0.2">
      <c r="B20" s="9" t="s">
        <v>285</v>
      </c>
      <c r="C20" s="12">
        <f>SUM(LTBL_40202[総数／事業所数])</f>
        <v>2943</v>
      </c>
      <c r="E20" s="12">
        <f>SUBTOTAL(109,LTBL_40202[個人／事業所数])</f>
        <v>1843</v>
      </c>
      <c r="G20" s="12">
        <f>SUBTOTAL(109,LTBL_40202[法人／事業所数])</f>
        <v>1087</v>
      </c>
      <c r="I20" s="12">
        <f>SUBTOTAL(109,LTBL_40202[法人以外の団体／事業所数])</f>
        <v>4</v>
      </c>
    </row>
    <row r="21" spans="2:9" ht="15" customHeight="1" x14ac:dyDescent="0.2">
      <c r="E21" s="11">
        <f>LTBL_40202[[#Totals],[個人／事業所数]]/LTBL_40202[[#Totals],[総数／事業所数]]</f>
        <v>0.62623173632347939</v>
      </c>
      <c r="G21" s="11">
        <f>LTBL_40202[[#Totals],[法人／事業所数]]/LTBL_40202[[#Totals],[総数／事業所数]]</f>
        <v>0.36935100237852531</v>
      </c>
      <c r="I21" s="11">
        <f>LTBL_40202[[#Totals],[法人以外の団体／事業所数]]/LTBL_40202[[#Totals],[総数／事業所数]]</f>
        <v>1.3591573224600749E-3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112</v>
      </c>
      <c r="C24" s="12">
        <v>388</v>
      </c>
      <c r="D24" s="8">
        <v>13.18</v>
      </c>
      <c r="E24" s="12">
        <v>365</v>
      </c>
      <c r="F24" s="8">
        <v>19.8</v>
      </c>
      <c r="G24" s="12">
        <v>23</v>
      </c>
      <c r="H24" s="8">
        <v>2.12</v>
      </c>
      <c r="I24" s="12">
        <v>0</v>
      </c>
    </row>
    <row r="25" spans="2:9" ht="15" customHeight="1" x14ac:dyDescent="0.2">
      <c r="B25" t="s">
        <v>113</v>
      </c>
      <c r="C25" s="12">
        <v>350</v>
      </c>
      <c r="D25" s="8">
        <v>11.89</v>
      </c>
      <c r="E25" s="12">
        <v>324</v>
      </c>
      <c r="F25" s="8">
        <v>17.579999999999998</v>
      </c>
      <c r="G25" s="12">
        <v>26</v>
      </c>
      <c r="H25" s="8">
        <v>2.39</v>
      </c>
      <c r="I25" s="12">
        <v>0</v>
      </c>
    </row>
    <row r="26" spans="2:9" ht="15" customHeight="1" x14ac:dyDescent="0.2">
      <c r="B26" t="s">
        <v>107</v>
      </c>
      <c r="C26" s="12">
        <v>263</v>
      </c>
      <c r="D26" s="8">
        <v>8.94</v>
      </c>
      <c r="E26" s="12">
        <v>158</v>
      </c>
      <c r="F26" s="8">
        <v>8.57</v>
      </c>
      <c r="G26" s="12">
        <v>104</v>
      </c>
      <c r="H26" s="8">
        <v>9.57</v>
      </c>
      <c r="I26" s="12">
        <v>1</v>
      </c>
    </row>
    <row r="27" spans="2:9" ht="15" customHeight="1" x14ac:dyDescent="0.2">
      <c r="B27" t="s">
        <v>105</v>
      </c>
      <c r="C27" s="12">
        <v>195</v>
      </c>
      <c r="D27" s="8">
        <v>6.63</v>
      </c>
      <c r="E27" s="12">
        <v>139</v>
      </c>
      <c r="F27" s="8">
        <v>7.54</v>
      </c>
      <c r="G27" s="12">
        <v>56</v>
      </c>
      <c r="H27" s="8">
        <v>5.15</v>
      </c>
      <c r="I27" s="12">
        <v>0</v>
      </c>
    </row>
    <row r="28" spans="2:9" ht="15" customHeight="1" x14ac:dyDescent="0.2">
      <c r="B28" t="s">
        <v>98</v>
      </c>
      <c r="C28" s="12">
        <v>184</v>
      </c>
      <c r="D28" s="8">
        <v>6.25</v>
      </c>
      <c r="E28" s="12">
        <v>62</v>
      </c>
      <c r="F28" s="8">
        <v>3.36</v>
      </c>
      <c r="G28" s="12">
        <v>122</v>
      </c>
      <c r="H28" s="8">
        <v>11.22</v>
      </c>
      <c r="I28" s="12">
        <v>0</v>
      </c>
    </row>
    <row r="29" spans="2:9" ht="15" customHeight="1" x14ac:dyDescent="0.2">
      <c r="B29" t="s">
        <v>109</v>
      </c>
      <c r="C29" s="12">
        <v>153</v>
      </c>
      <c r="D29" s="8">
        <v>5.2</v>
      </c>
      <c r="E29" s="12">
        <v>83</v>
      </c>
      <c r="F29" s="8">
        <v>4.5</v>
      </c>
      <c r="G29" s="12">
        <v>70</v>
      </c>
      <c r="H29" s="8">
        <v>6.44</v>
      </c>
      <c r="I29" s="12">
        <v>0</v>
      </c>
    </row>
    <row r="30" spans="2:9" ht="15" customHeight="1" x14ac:dyDescent="0.2">
      <c r="B30" t="s">
        <v>115</v>
      </c>
      <c r="C30" s="12">
        <v>116</v>
      </c>
      <c r="D30" s="8">
        <v>3.94</v>
      </c>
      <c r="E30" s="12">
        <v>108</v>
      </c>
      <c r="F30" s="8">
        <v>5.86</v>
      </c>
      <c r="G30" s="12">
        <v>8</v>
      </c>
      <c r="H30" s="8">
        <v>0.74</v>
      </c>
      <c r="I30" s="12">
        <v>0</v>
      </c>
    </row>
    <row r="31" spans="2:9" ht="15" customHeight="1" x14ac:dyDescent="0.2">
      <c r="B31" t="s">
        <v>106</v>
      </c>
      <c r="C31" s="12">
        <v>114</v>
      </c>
      <c r="D31" s="8">
        <v>3.87</v>
      </c>
      <c r="E31" s="12">
        <v>76</v>
      </c>
      <c r="F31" s="8">
        <v>4.12</v>
      </c>
      <c r="G31" s="12">
        <v>38</v>
      </c>
      <c r="H31" s="8">
        <v>3.5</v>
      </c>
      <c r="I31" s="12">
        <v>0</v>
      </c>
    </row>
    <row r="32" spans="2:9" ht="15" customHeight="1" x14ac:dyDescent="0.2">
      <c r="B32" t="s">
        <v>99</v>
      </c>
      <c r="C32" s="12">
        <v>106</v>
      </c>
      <c r="D32" s="8">
        <v>3.6</v>
      </c>
      <c r="E32" s="12">
        <v>58</v>
      </c>
      <c r="F32" s="8">
        <v>3.15</v>
      </c>
      <c r="G32" s="12">
        <v>48</v>
      </c>
      <c r="H32" s="8">
        <v>4.42</v>
      </c>
      <c r="I32" s="12">
        <v>0</v>
      </c>
    </row>
    <row r="33" spans="2:9" ht="15" customHeight="1" x14ac:dyDescent="0.2">
      <c r="B33" t="s">
        <v>114</v>
      </c>
      <c r="C33" s="12">
        <v>104</v>
      </c>
      <c r="D33" s="8">
        <v>3.53</v>
      </c>
      <c r="E33" s="12">
        <v>76</v>
      </c>
      <c r="F33" s="8">
        <v>4.12</v>
      </c>
      <c r="G33" s="12">
        <v>20</v>
      </c>
      <c r="H33" s="8">
        <v>1.84</v>
      </c>
      <c r="I33" s="12">
        <v>0</v>
      </c>
    </row>
    <row r="34" spans="2:9" ht="15" customHeight="1" x14ac:dyDescent="0.2">
      <c r="B34" t="s">
        <v>104</v>
      </c>
      <c r="C34" s="12">
        <v>99</v>
      </c>
      <c r="D34" s="8">
        <v>3.36</v>
      </c>
      <c r="E34" s="12">
        <v>47</v>
      </c>
      <c r="F34" s="8">
        <v>2.5499999999999998</v>
      </c>
      <c r="G34" s="12">
        <v>52</v>
      </c>
      <c r="H34" s="8">
        <v>4.78</v>
      </c>
      <c r="I34" s="12">
        <v>0</v>
      </c>
    </row>
    <row r="35" spans="2:9" ht="15" customHeight="1" x14ac:dyDescent="0.2">
      <c r="B35" t="s">
        <v>100</v>
      </c>
      <c r="C35" s="12">
        <v>87</v>
      </c>
      <c r="D35" s="8">
        <v>2.96</v>
      </c>
      <c r="E35" s="12">
        <v>27</v>
      </c>
      <c r="F35" s="8">
        <v>1.47</v>
      </c>
      <c r="G35" s="12">
        <v>60</v>
      </c>
      <c r="H35" s="8">
        <v>5.52</v>
      </c>
      <c r="I35" s="12">
        <v>0</v>
      </c>
    </row>
    <row r="36" spans="2:9" ht="15" customHeight="1" x14ac:dyDescent="0.2">
      <c r="B36" t="s">
        <v>116</v>
      </c>
      <c r="C36" s="12">
        <v>55</v>
      </c>
      <c r="D36" s="8">
        <v>1.87</v>
      </c>
      <c r="E36" s="12">
        <v>0</v>
      </c>
      <c r="F36" s="8">
        <v>0</v>
      </c>
      <c r="G36" s="12">
        <v>55</v>
      </c>
      <c r="H36" s="8">
        <v>5.0599999999999996</v>
      </c>
      <c r="I36" s="12">
        <v>0</v>
      </c>
    </row>
    <row r="37" spans="2:9" ht="15" customHeight="1" x14ac:dyDescent="0.2">
      <c r="B37" t="s">
        <v>110</v>
      </c>
      <c r="C37" s="12">
        <v>54</v>
      </c>
      <c r="D37" s="8">
        <v>1.83</v>
      </c>
      <c r="E37" s="12">
        <v>38</v>
      </c>
      <c r="F37" s="8">
        <v>2.06</v>
      </c>
      <c r="G37" s="12">
        <v>16</v>
      </c>
      <c r="H37" s="8">
        <v>1.47</v>
      </c>
      <c r="I37" s="12">
        <v>0</v>
      </c>
    </row>
    <row r="38" spans="2:9" ht="15" customHeight="1" x14ac:dyDescent="0.2">
      <c r="B38" t="s">
        <v>111</v>
      </c>
      <c r="C38" s="12">
        <v>51</v>
      </c>
      <c r="D38" s="8">
        <v>1.73</v>
      </c>
      <c r="E38" s="12">
        <v>31</v>
      </c>
      <c r="F38" s="8">
        <v>1.68</v>
      </c>
      <c r="G38" s="12">
        <v>19</v>
      </c>
      <c r="H38" s="8">
        <v>1.75</v>
      </c>
      <c r="I38" s="12">
        <v>0</v>
      </c>
    </row>
    <row r="39" spans="2:9" ht="15" customHeight="1" x14ac:dyDescent="0.2">
      <c r="B39" t="s">
        <v>123</v>
      </c>
      <c r="C39" s="12">
        <v>51</v>
      </c>
      <c r="D39" s="8">
        <v>1.73</v>
      </c>
      <c r="E39" s="12">
        <v>44</v>
      </c>
      <c r="F39" s="8">
        <v>2.39</v>
      </c>
      <c r="G39" s="12">
        <v>7</v>
      </c>
      <c r="H39" s="8">
        <v>0.64</v>
      </c>
      <c r="I39" s="12">
        <v>0</v>
      </c>
    </row>
    <row r="40" spans="2:9" ht="15" customHeight="1" x14ac:dyDescent="0.2">
      <c r="B40" t="s">
        <v>118</v>
      </c>
      <c r="C40" s="12">
        <v>46</v>
      </c>
      <c r="D40" s="8">
        <v>1.56</v>
      </c>
      <c r="E40" s="12">
        <v>23</v>
      </c>
      <c r="F40" s="8">
        <v>1.25</v>
      </c>
      <c r="G40" s="12">
        <v>23</v>
      </c>
      <c r="H40" s="8">
        <v>2.12</v>
      </c>
      <c r="I40" s="12">
        <v>0</v>
      </c>
    </row>
    <row r="41" spans="2:9" ht="15" customHeight="1" x14ac:dyDescent="0.2">
      <c r="B41" t="s">
        <v>108</v>
      </c>
      <c r="C41" s="12">
        <v>42</v>
      </c>
      <c r="D41" s="8">
        <v>1.43</v>
      </c>
      <c r="E41" s="12">
        <v>18</v>
      </c>
      <c r="F41" s="8">
        <v>0.98</v>
      </c>
      <c r="G41" s="12">
        <v>24</v>
      </c>
      <c r="H41" s="8">
        <v>2.21</v>
      </c>
      <c r="I41" s="12">
        <v>0</v>
      </c>
    </row>
    <row r="42" spans="2:9" ht="15" customHeight="1" x14ac:dyDescent="0.2">
      <c r="B42" t="s">
        <v>101</v>
      </c>
      <c r="C42" s="12">
        <v>40</v>
      </c>
      <c r="D42" s="8">
        <v>1.36</v>
      </c>
      <c r="E42" s="12">
        <v>9</v>
      </c>
      <c r="F42" s="8">
        <v>0.49</v>
      </c>
      <c r="G42" s="12">
        <v>31</v>
      </c>
      <c r="H42" s="8">
        <v>2.85</v>
      </c>
      <c r="I42" s="12">
        <v>0</v>
      </c>
    </row>
    <row r="43" spans="2:9" ht="15" customHeight="1" x14ac:dyDescent="0.2">
      <c r="B43" t="s">
        <v>121</v>
      </c>
      <c r="C43" s="12">
        <v>38</v>
      </c>
      <c r="D43" s="8">
        <v>1.29</v>
      </c>
      <c r="E43" s="12">
        <v>15</v>
      </c>
      <c r="F43" s="8">
        <v>0.81</v>
      </c>
      <c r="G43" s="12">
        <v>23</v>
      </c>
      <c r="H43" s="8">
        <v>2.12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170</v>
      </c>
      <c r="C47" s="12">
        <v>190</v>
      </c>
      <c r="D47" s="8">
        <v>6.46</v>
      </c>
      <c r="E47" s="12">
        <v>180</v>
      </c>
      <c r="F47" s="8">
        <v>9.77</v>
      </c>
      <c r="G47" s="12">
        <v>10</v>
      </c>
      <c r="H47" s="8">
        <v>0.92</v>
      </c>
      <c r="I47" s="12">
        <v>0</v>
      </c>
    </row>
    <row r="48" spans="2:9" ht="15" customHeight="1" x14ac:dyDescent="0.2">
      <c r="B48" t="s">
        <v>168</v>
      </c>
      <c r="C48" s="12">
        <v>156</v>
      </c>
      <c r="D48" s="8">
        <v>5.3</v>
      </c>
      <c r="E48" s="12">
        <v>153</v>
      </c>
      <c r="F48" s="8">
        <v>8.3000000000000007</v>
      </c>
      <c r="G48" s="12">
        <v>3</v>
      </c>
      <c r="H48" s="8">
        <v>0.28000000000000003</v>
      </c>
      <c r="I48" s="12">
        <v>0</v>
      </c>
    </row>
    <row r="49" spans="2:9" ht="15" customHeight="1" x14ac:dyDescent="0.2">
      <c r="B49" t="s">
        <v>169</v>
      </c>
      <c r="C49" s="12">
        <v>99</v>
      </c>
      <c r="D49" s="8">
        <v>3.36</v>
      </c>
      <c r="E49" s="12">
        <v>97</v>
      </c>
      <c r="F49" s="8">
        <v>5.26</v>
      </c>
      <c r="G49" s="12">
        <v>2</v>
      </c>
      <c r="H49" s="8">
        <v>0.18</v>
      </c>
      <c r="I49" s="12">
        <v>0</v>
      </c>
    </row>
    <row r="50" spans="2:9" ht="15" customHeight="1" x14ac:dyDescent="0.2">
      <c r="B50" t="s">
        <v>164</v>
      </c>
      <c r="C50" s="12">
        <v>92</v>
      </c>
      <c r="D50" s="8">
        <v>3.13</v>
      </c>
      <c r="E50" s="12">
        <v>51</v>
      </c>
      <c r="F50" s="8">
        <v>2.77</v>
      </c>
      <c r="G50" s="12">
        <v>41</v>
      </c>
      <c r="H50" s="8">
        <v>3.77</v>
      </c>
      <c r="I50" s="12">
        <v>0</v>
      </c>
    </row>
    <row r="51" spans="2:9" ht="15" customHeight="1" x14ac:dyDescent="0.2">
      <c r="B51" t="s">
        <v>172</v>
      </c>
      <c r="C51" s="12">
        <v>87</v>
      </c>
      <c r="D51" s="8">
        <v>2.96</v>
      </c>
      <c r="E51" s="12">
        <v>81</v>
      </c>
      <c r="F51" s="8">
        <v>4.4000000000000004</v>
      </c>
      <c r="G51" s="12">
        <v>6</v>
      </c>
      <c r="H51" s="8">
        <v>0.55000000000000004</v>
      </c>
      <c r="I51" s="12">
        <v>0</v>
      </c>
    </row>
    <row r="52" spans="2:9" ht="15" customHeight="1" x14ac:dyDescent="0.2">
      <c r="B52" t="s">
        <v>158</v>
      </c>
      <c r="C52" s="12">
        <v>83</v>
      </c>
      <c r="D52" s="8">
        <v>2.82</v>
      </c>
      <c r="E52" s="12">
        <v>54</v>
      </c>
      <c r="F52" s="8">
        <v>2.93</v>
      </c>
      <c r="G52" s="12">
        <v>29</v>
      </c>
      <c r="H52" s="8">
        <v>2.67</v>
      </c>
      <c r="I52" s="12">
        <v>0</v>
      </c>
    </row>
    <row r="53" spans="2:9" ht="15" customHeight="1" x14ac:dyDescent="0.2">
      <c r="B53" t="s">
        <v>159</v>
      </c>
      <c r="C53" s="12">
        <v>74</v>
      </c>
      <c r="D53" s="8">
        <v>2.5099999999999998</v>
      </c>
      <c r="E53" s="12">
        <v>47</v>
      </c>
      <c r="F53" s="8">
        <v>2.5499999999999998</v>
      </c>
      <c r="G53" s="12">
        <v>27</v>
      </c>
      <c r="H53" s="8">
        <v>2.48</v>
      </c>
      <c r="I53" s="12">
        <v>0</v>
      </c>
    </row>
    <row r="54" spans="2:9" ht="15" customHeight="1" x14ac:dyDescent="0.2">
      <c r="B54" t="s">
        <v>167</v>
      </c>
      <c r="C54" s="12">
        <v>73</v>
      </c>
      <c r="D54" s="8">
        <v>2.48</v>
      </c>
      <c r="E54" s="12">
        <v>69</v>
      </c>
      <c r="F54" s="8">
        <v>3.74</v>
      </c>
      <c r="G54" s="12">
        <v>4</v>
      </c>
      <c r="H54" s="8">
        <v>0.37</v>
      </c>
      <c r="I54" s="12">
        <v>0</v>
      </c>
    </row>
    <row r="55" spans="2:9" ht="15" customHeight="1" x14ac:dyDescent="0.2">
      <c r="B55" t="s">
        <v>161</v>
      </c>
      <c r="C55" s="12">
        <v>72</v>
      </c>
      <c r="D55" s="8">
        <v>2.4500000000000002</v>
      </c>
      <c r="E55" s="12">
        <v>52</v>
      </c>
      <c r="F55" s="8">
        <v>2.82</v>
      </c>
      <c r="G55" s="12">
        <v>19</v>
      </c>
      <c r="H55" s="8">
        <v>1.75</v>
      </c>
      <c r="I55" s="12">
        <v>1</v>
      </c>
    </row>
    <row r="56" spans="2:9" ht="15" customHeight="1" x14ac:dyDescent="0.2">
      <c r="B56" t="s">
        <v>166</v>
      </c>
      <c r="C56" s="12">
        <v>67</v>
      </c>
      <c r="D56" s="8">
        <v>2.2799999999999998</v>
      </c>
      <c r="E56" s="12">
        <v>61</v>
      </c>
      <c r="F56" s="8">
        <v>3.31</v>
      </c>
      <c r="G56" s="12">
        <v>6</v>
      </c>
      <c r="H56" s="8">
        <v>0.55000000000000004</v>
      </c>
      <c r="I56" s="12">
        <v>0</v>
      </c>
    </row>
    <row r="57" spans="2:9" ht="15" customHeight="1" x14ac:dyDescent="0.2">
      <c r="B57" t="s">
        <v>160</v>
      </c>
      <c r="C57" s="12">
        <v>61</v>
      </c>
      <c r="D57" s="8">
        <v>2.0699999999999998</v>
      </c>
      <c r="E57" s="12">
        <v>22</v>
      </c>
      <c r="F57" s="8">
        <v>1.19</v>
      </c>
      <c r="G57" s="12">
        <v>39</v>
      </c>
      <c r="H57" s="8">
        <v>3.59</v>
      </c>
      <c r="I57" s="12">
        <v>0</v>
      </c>
    </row>
    <row r="58" spans="2:9" ht="15" customHeight="1" x14ac:dyDescent="0.2">
      <c r="B58" t="s">
        <v>154</v>
      </c>
      <c r="C58" s="12">
        <v>60</v>
      </c>
      <c r="D58" s="8">
        <v>2.04</v>
      </c>
      <c r="E58" s="12">
        <v>12</v>
      </c>
      <c r="F58" s="8">
        <v>0.65</v>
      </c>
      <c r="G58" s="12">
        <v>48</v>
      </c>
      <c r="H58" s="8">
        <v>4.42</v>
      </c>
      <c r="I58" s="12">
        <v>0</v>
      </c>
    </row>
    <row r="59" spans="2:9" ht="15" customHeight="1" x14ac:dyDescent="0.2">
      <c r="B59" t="s">
        <v>155</v>
      </c>
      <c r="C59" s="12">
        <v>55</v>
      </c>
      <c r="D59" s="8">
        <v>1.87</v>
      </c>
      <c r="E59" s="12">
        <v>14</v>
      </c>
      <c r="F59" s="8">
        <v>0.76</v>
      </c>
      <c r="G59" s="12">
        <v>41</v>
      </c>
      <c r="H59" s="8">
        <v>3.77</v>
      </c>
      <c r="I59" s="12">
        <v>0</v>
      </c>
    </row>
    <row r="60" spans="2:9" ht="15" customHeight="1" x14ac:dyDescent="0.2">
      <c r="B60" t="s">
        <v>157</v>
      </c>
      <c r="C60" s="12">
        <v>53</v>
      </c>
      <c r="D60" s="8">
        <v>1.8</v>
      </c>
      <c r="E60" s="12">
        <v>28</v>
      </c>
      <c r="F60" s="8">
        <v>1.52</v>
      </c>
      <c r="G60" s="12">
        <v>25</v>
      </c>
      <c r="H60" s="8">
        <v>2.2999999999999998</v>
      </c>
      <c r="I60" s="12">
        <v>0</v>
      </c>
    </row>
    <row r="61" spans="2:9" ht="15" customHeight="1" x14ac:dyDescent="0.2">
      <c r="B61" t="s">
        <v>171</v>
      </c>
      <c r="C61" s="12">
        <v>51</v>
      </c>
      <c r="D61" s="8">
        <v>1.73</v>
      </c>
      <c r="E61" s="12">
        <v>42</v>
      </c>
      <c r="F61" s="8">
        <v>2.2799999999999998</v>
      </c>
      <c r="G61" s="12">
        <v>9</v>
      </c>
      <c r="H61" s="8">
        <v>0.83</v>
      </c>
      <c r="I61" s="12">
        <v>0</v>
      </c>
    </row>
    <row r="62" spans="2:9" ht="15" customHeight="1" x14ac:dyDescent="0.2">
      <c r="B62" t="s">
        <v>173</v>
      </c>
      <c r="C62" s="12">
        <v>50</v>
      </c>
      <c r="D62" s="8">
        <v>1.7</v>
      </c>
      <c r="E62" s="12">
        <v>44</v>
      </c>
      <c r="F62" s="8">
        <v>2.39</v>
      </c>
      <c r="G62" s="12">
        <v>6</v>
      </c>
      <c r="H62" s="8">
        <v>0.55000000000000004</v>
      </c>
      <c r="I62" s="12">
        <v>0</v>
      </c>
    </row>
    <row r="63" spans="2:9" ht="15" customHeight="1" x14ac:dyDescent="0.2">
      <c r="B63" t="s">
        <v>186</v>
      </c>
      <c r="C63" s="12">
        <v>41</v>
      </c>
      <c r="D63" s="8">
        <v>1.39</v>
      </c>
      <c r="E63" s="12">
        <v>27</v>
      </c>
      <c r="F63" s="8">
        <v>1.47</v>
      </c>
      <c r="G63" s="12">
        <v>14</v>
      </c>
      <c r="H63" s="8">
        <v>1.29</v>
      </c>
      <c r="I63" s="12">
        <v>0</v>
      </c>
    </row>
    <row r="64" spans="2:9" ht="15" customHeight="1" x14ac:dyDescent="0.2">
      <c r="B64" t="s">
        <v>205</v>
      </c>
      <c r="C64" s="12">
        <v>41</v>
      </c>
      <c r="D64" s="8">
        <v>1.39</v>
      </c>
      <c r="E64" s="12">
        <v>28</v>
      </c>
      <c r="F64" s="8">
        <v>1.52</v>
      </c>
      <c r="G64" s="12">
        <v>13</v>
      </c>
      <c r="H64" s="8">
        <v>1.2</v>
      </c>
      <c r="I64" s="12">
        <v>0</v>
      </c>
    </row>
    <row r="65" spans="2:9" ht="15" customHeight="1" x14ac:dyDescent="0.2">
      <c r="B65" t="s">
        <v>156</v>
      </c>
      <c r="C65" s="12">
        <v>40</v>
      </c>
      <c r="D65" s="8">
        <v>1.36</v>
      </c>
      <c r="E65" s="12">
        <v>14</v>
      </c>
      <c r="F65" s="8">
        <v>0.76</v>
      </c>
      <c r="G65" s="12">
        <v>26</v>
      </c>
      <c r="H65" s="8">
        <v>2.39</v>
      </c>
      <c r="I65" s="12">
        <v>0</v>
      </c>
    </row>
    <row r="66" spans="2:9" ht="15" customHeight="1" x14ac:dyDescent="0.2">
      <c r="B66" t="s">
        <v>182</v>
      </c>
      <c r="C66" s="12">
        <v>40</v>
      </c>
      <c r="D66" s="8">
        <v>1.36</v>
      </c>
      <c r="E66" s="12">
        <v>30</v>
      </c>
      <c r="F66" s="8">
        <v>1.63</v>
      </c>
      <c r="G66" s="12">
        <v>10</v>
      </c>
      <c r="H66" s="8">
        <v>0.92</v>
      </c>
      <c r="I66" s="12">
        <v>0</v>
      </c>
    </row>
    <row r="68" spans="2:9" ht="15" customHeight="1" x14ac:dyDescent="0.2">
      <c r="B68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1877E-45A7-4384-B8D1-932FC547D7F6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306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906</v>
      </c>
      <c r="D6" s="8">
        <v>12.6</v>
      </c>
      <c r="E6" s="12">
        <v>305</v>
      </c>
      <c r="F6" s="8">
        <v>7.74</v>
      </c>
      <c r="G6" s="12">
        <v>601</v>
      </c>
      <c r="H6" s="8">
        <v>18.690000000000001</v>
      </c>
      <c r="I6" s="12">
        <v>0</v>
      </c>
    </row>
    <row r="7" spans="2:9" ht="15" customHeight="1" x14ac:dyDescent="0.2">
      <c r="B7" t="s">
        <v>77</v>
      </c>
      <c r="C7" s="12">
        <v>487</v>
      </c>
      <c r="D7" s="8">
        <v>6.77</v>
      </c>
      <c r="E7" s="12">
        <v>231</v>
      </c>
      <c r="F7" s="8">
        <v>5.86</v>
      </c>
      <c r="G7" s="12">
        <v>256</v>
      </c>
      <c r="H7" s="8">
        <v>7.96</v>
      </c>
      <c r="I7" s="12">
        <v>0</v>
      </c>
    </row>
    <row r="8" spans="2:9" ht="15" customHeight="1" x14ac:dyDescent="0.2">
      <c r="B8" t="s">
        <v>78</v>
      </c>
      <c r="C8" s="12">
        <v>15</v>
      </c>
      <c r="D8" s="8">
        <v>0.21</v>
      </c>
      <c r="E8" s="12">
        <v>0</v>
      </c>
      <c r="F8" s="8">
        <v>0</v>
      </c>
      <c r="G8" s="12">
        <v>11</v>
      </c>
      <c r="H8" s="8">
        <v>0.34</v>
      </c>
      <c r="I8" s="12">
        <v>0</v>
      </c>
    </row>
    <row r="9" spans="2:9" ht="15" customHeight="1" x14ac:dyDescent="0.2">
      <c r="B9" t="s">
        <v>79</v>
      </c>
      <c r="C9" s="12">
        <v>41</v>
      </c>
      <c r="D9" s="8">
        <v>0.56999999999999995</v>
      </c>
      <c r="E9" s="12">
        <v>4</v>
      </c>
      <c r="F9" s="8">
        <v>0.1</v>
      </c>
      <c r="G9" s="12">
        <v>36</v>
      </c>
      <c r="H9" s="8">
        <v>1.1200000000000001</v>
      </c>
      <c r="I9" s="12">
        <v>1</v>
      </c>
    </row>
    <row r="10" spans="2:9" ht="15" customHeight="1" x14ac:dyDescent="0.2">
      <c r="B10" t="s">
        <v>80</v>
      </c>
      <c r="C10" s="12">
        <v>57</v>
      </c>
      <c r="D10" s="8">
        <v>0.79</v>
      </c>
      <c r="E10" s="12">
        <v>23</v>
      </c>
      <c r="F10" s="8">
        <v>0.57999999999999996</v>
      </c>
      <c r="G10" s="12">
        <v>34</v>
      </c>
      <c r="H10" s="8">
        <v>1.06</v>
      </c>
      <c r="I10" s="12">
        <v>0</v>
      </c>
    </row>
    <row r="11" spans="2:9" ht="15" customHeight="1" x14ac:dyDescent="0.2">
      <c r="B11" t="s">
        <v>81</v>
      </c>
      <c r="C11" s="12">
        <v>1834</v>
      </c>
      <c r="D11" s="8">
        <v>25.5</v>
      </c>
      <c r="E11" s="12">
        <v>891</v>
      </c>
      <c r="F11" s="8">
        <v>22.6</v>
      </c>
      <c r="G11" s="12">
        <v>942</v>
      </c>
      <c r="H11" s="8">
        <v>29.3</v>
      </c>
      <c r="I11" s="12">
        <v>1</v>
      </c>
    </row>
    <row r="12" spans="2:9" ht="15" customHeight="1" x14ac:dyDescent="0.2">
      <c r="B12" t="s">
        <v>82</v>
      </c>
      <c r="C12" s="12">
        <v>70</v>
      </c>
      <c r="D12" s="8">
        <v>0.97</v>
      </c>
      <c r="E12" s="12">
        <v>13</v>
      </c>
      <c r="F12" s="8">
        <v>0.33</v>
      </c>
      <c r="G12" s="12">
        <v>57</v>
      </c>
      <c r="H12" s="8">
        <v>1.77</v>
      </c>
      <c r="I12" s="12">
        <v>0</v>
      </c>
    </row>
    <row r="13" spans="2:9" ht="15" customHeight="1" x14ac:dyDescent="0.2">
      <c r="B13" t="s">
        <v>83</v>
      </c>
      <c r="C13" s="12">
        <v>624</v>
      </c>
      <c r="D13" s="8">
        <v>8.68</v>
      </c>
      <c r="E13" s="12">
        <v>215</v>
      </c>
      <c r="F13" s="8">
        <v>5.45</v>
      </c>
      <c r="G13" s="12">
        <v>407</v>
      </c>
      <c r="H13" s="8">
        <v>12.66</v>
      </c>
      <c r="I13" s="12">
        <v>1</v>
      </c>
    </row>
    <row r="14" spans="2:9" ht="15" customHeight="1" x14ac:dyDescent="0.2">
      <c r="B14" t="s">
        <v>84</v>
      </c>
      <c r="C14" s="12">
        <v>408</v>
      </c>
      <c r="D14" s="8">
        <v>5.67</v>
      </c>
      <c r="E14" s="12">
        <v>249</v>
      </c>
      <c r="F14" s="8">
        <v>6.32</v>
      </c>
      <c r="G14" s="12">
        <v>153</v>
      </c>
      <c r="H14" s="8">
        <v>4.76</v>
      </c>
      <c r="I14" s="12">
        <v>4</v>
      </c>
    </row>
    <row r="15" spans="2:9" ht="15" customHeight="1" x14ac:dyDescent="0.2">
      <c r="B15" t="s">
        <v>85</v>
      </c>
      <c r="C15" s="12">
        <v>900</v>
      </c>
      <c r="D15" s="8">
        <v>12.51</v>
      </c>
      <c r="E15" s="12">
        <v>747</v>
      </c>
      <c r="F15" s="8">
        <v>18.95</v>
      </c>
      <c r="G15" s="12">
        <v>153</v>
      </c>
      <c r="H15" s="8">
        <v>4.76</v>
      </c>
      <c r="I15" s="12">
        <v>0</v>
      </c>
    </row>
    <row r="16" spans="2:9" ht="15" customHeight="1" x14ac:dyDescent="0.2">
      <c r="B16" t="s">
        <v>86</v>
      </c>
      <c r="C16" s="12">
        <v>909</v>
      </c>
      <c r="D16" s="8">
        <v>12.64</v>
      </c>
      <c r="E16" s="12">
        <v>726</v>
      </c>
      <c r="F16" s="8">
        <v>18.420000000000002</v>
      </c>
      <c r="G16" s="12">
        <v>182</v>
      </c>
      <c r="H16" s="8">
        <v>5.66</v>
      </c>
      <c r="I16" s="12">
        <v>1</v>
      </c>
    </row>
    <row r="17" spans="2:9" ht="15" customHeight="1" x14ac:dyDescent="0.2">
      <c r="B17" t="s">
        <v>87</v>
      </c>
      <c r="C17" s="12">
        <v>222</v>
      </c>
      <c r="D17" s="8">
        <v>3.09</v>
      </c>
      <c r="E17" s="12">
        <v>164</v>
      </c>
      <c r="F17" s="8">
        <v>4.16</v>
      </c>
      <c r="G17" s="12">
        <v>54</v>
      </c>
      <c r="H17" s="8">
        <v>1.68</v>
      </c>
      <c r="I17" s="12">
        <v>2</v>
      </c>
    </row>
    <row r="18" spans="2:9" ht="15" customHeight="1" x14ac:dyDescent="0.2">
      <c r="B18" t="s">
        <v>88</v>
      </c>
      <c r="C18" s="12">
        <v>405</v>
      </c>
      <c r="D18" s="8">
        <v>5.63</v>
      </c>
      <c r="E18" s="12">
        <v>229</v>
      </c>
      <c r="F18" s="8">
        <v>5.81</v>
      </c>
      <c r="G18" s="12">
        <v>164</v>
      </c>
      <c r="H18" s="8">
        <v>5.0999999999999996</v>
      </c>
      <c r="I18" s="12">
        <v>2</v>
      </c>
    </row>
    <row r="19" spans="2:9" ht="15" customHeight="1" x14ac:dyDescent="0.2">
      <c r="B19" t="s">
        <v>89</v>
      </c>
      <c r="C19" s="12">
        <v>314</v>
      </c>
      <c r="D19" s="8">
        <v>4.37</v>
      </c>
      <c r="E19" s="12">
        <v>145</v>
      </c>
      <c r="F19" s="8">
        <v>3.68</v>
      </c>
      <c r="G19" s="12">
        <v>165</v>
      </c>
      <c r="H19" s="8">
        <v>5.13</v>
      </c>
      <c r="I19" s="12">
        <v>3</v>
      </c>
    </row>
    <row r="20" spans="2:9" ht="15" customHeight="1" x14ac:dyDescent="0.2">
      <c r="B20" s="9" t="s">
        <v>285</v>
      </c>
      <c r="C20" s="12">
        <f>SUM(LTBL_40203[総数／事業所数])</f>
        <v>7192</v>
      </c>
      <c r="E20" s="12">
        <f>SUBTOTAL(109,LTBL_40203[個人／事業所数])</f>
        <v>3942</v>
      </c>
      <c r="G20" s="12">
        <f>SUBTOTAL(109,LTBL_40203[法人／事業所数])</f>
        <v>3215</v>
      </c>
      <c r="I20" s="12">
        <f>SUBTOTAL(109,LTBL_40203[法人以外の団体／事業所数])</f>
        <v>15</v>
      </c>
    </row>
    <row r="21" spans="2:9" ht="15" customHeight="1" x14ac:dyDescent="0.2">
      <c r="E21" s="11">
        <f>LTBL_40203[[#Totals],[個人／事業所数]]/LTBL_40203[[#Totals],[総数／事業所数]]</f>
        <v>0.54810901001112344</v>
      </c>
      <c r="G21" s="11">
        <f>LTBL_40203[[#Totals],[法人／事業所数]]/LTBL_40203[[#Totals],[総数／事業所数]]</f>
        <v>0.44702447163515019</v>
      </c>
      <c r="I21" s="11">
        <f>LTBL_40203[[#Totals],[法人以外の団体／事業所数]]/LTBL_40203[[#Totals],[総数／事業所数]]</f>
        <v>2.0856507230255839E-3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112</v>
      </c>
      <c r="C24" s="12">
        <v>826</v>
      </c>
      <c r="D24" s="8">
        <v>11.48</v>
      </c>
      <c r="E24" s="12">
        <v>725</v>
      </c>
      <c r="F24" s="8">
        <v>18.39</v>
      </c>
      <c r="G24" s="12">
        <v>101</v>
      </c>
      <c r="H24" s="8">
        <v>3.14</v>
      </c>
      <c r="I24" s="12">
        <v>0</v>
      </c>
    </row>
    <row r="25" spans="2:9" ht="15" customHeight="1" x14ac:dyDescent="0.2">
      <c r="B25" t="s">
        <v>113</v>
      </c>
      <c r="C25" s="12">
        <v>762</v>
      </c>
      <c r="D25" s="8">
        <v>10.6</v>
      </c>
      <c r="E25" s="12">
        <v>653</v>
      </c>
      <c r="F25" s="8">
        <v>16.57</v>
      </c>
      <c r="G25" s="12">
        <v>108</v>
      </c>
      <c r="H25" s="8">
        <v>3.36</v>
      </c>
      <c r="I25" s="12">
        <v>1</v>
      </c>
    </row>
    <row r="26" spans="2:9" ht="15" customHeight="1" x14ac:dyDescent="0.2">
      <c r="B26" t="s">
        <v>107</v>
      </c>
      <c r="C26" s="12">
        <v>520</v>
      </c>
      <c r="D26" s="8">
        <v>7.23</v>
      </c>
      <c r="E26" s="12">
        <v>279</v>
      </c>
      <c r="F26" s="8">
        <v>7.08</v>
      </c>
      <c r="G26" s="12">
        <v>241</v>
      </c>
      <c r="H26" s="8">
        <v>7.5</v>
      </c>
      <c r="I26" s="12">
        <v>0</v>
      </c>
    </row>
    <row r="27" spans="2:9" ht="15" customHeight="1" x14ac:dyDescent="0.2">
      <c r="B27" t="s">
        <v>109</v>
      </c>
      <c r="C27" s="12">
        <v>457</v>
      </c>
      <c r="D27" s="8">
        <v>6.35</v>
      </c>
      <c r="E27" s="12">
        <v>171</v>
      </c>
      <c r="F27" s="8">
        <v>4.34</v>
      </c>
      <c r="G27" s="12">
        <v>284</v>
      </c>
      <c r="H27" s="8">
        <v>8.83</v>
      </c>
      <c r="I27" s="12">
        <v>1</v>
      </c>
    </row>
    <row r="28" spans="2:9" ht="15" customHeight="1" x14ac:dyDescent="0.2">
      <c r="B28" t="s">
        <v>98</v>
      </c>
      <c r="C28" s="12">
        <v>411</v>
      </c>
      <c r="D28" s="8">
        <v>5.71</v>
      </c>
      <c r="E28" s="12">
        <v>97</v>
      </c>
      <c r="F28" s="8">
        <v>2.46</v>
      </c>
      <c r="G28" s="12">
        <v>314</v>
      </c>
      <c r="H28" s="8">
        <v>9.77</v>
      </c>
      <c r="I28" s="12">
        <v>0</v>
      </c>
    </row>
    <row r="29" spans="2:9" ht="15" customHeight="1" x14ac:dyDescent="0.2">
      <c r="B29" t="s">
        <v>105</v>
      </c>
      <c r="C29" s="12">
        <v>328</v>
      </c>
      <c r="D29" s="8">
        <v>4.5599999999999996</v>
      </c>
      <c r="E29" s="12">
        <v>240</v>
      </c>
      <c r="F29" s="8">
        <v>6.09</v>
      </c>
      <c r="G29" s="12">
        <v>88</v>
      </c>
      <c r="H29" s="8">
        <v>2.74</v>
      </c>
      <c r="I29" s="12">
        <v>0</v>
      </c>
    </row>
    <row r="30" spans="2:9" ht="15" customHeight="1" x14ac:dyDescent="0.2">
      <c r="B30" t="s">
        <v>99</v>
      </c>
      <c r="C30" s="12">
        <v>280</v>
      </c>
      <c r="D30" s="8">
        <v>3.89</v>
      </c>
      <c r="E30" s="12">
        <v>139</v>
      </c>
      <c r="F30" s="8">
        <v>3.53</v>
      </c>
      <c r="G30" s="12">
        <v>141</v>
      </c>
      <c r="H30" s="8">
        <v>4.3899999999999997</v>
      </c>
      <c r="I30" s="12">
        <v>0</v>
      </c>
    </row>
    <row r="31" spans="2:9" ht="15" customHeight="1" x14ac:dyDescent="0.2">
      <c r="B31" t="s">
        <v>115</v>
      </c>
      <c r="C31" s="12">
        <v>272</v>
      </c>
      <c r="D31" s="8">
        <v>3.78</v>
      </c>
      <c r="E31" s="12">
        <v>227</v>
      </c>
      <c r="F31" s="8">
        <v>5.76</v>
      </c>
      <c r="G31" s="12">
        <v>45</v>
      </c>
      <c r="H31" s="8">
        <v>1.4</v>
      </c>
      <c r="I31" s="12">
        <v>0</v>
      </c>
    </row>
    <row r="32" spans="2:9" ht="15" customHeight="1" x14ac:dyDescent="0.2">
      <c r="B32" t="s">
        <v>110</v>
      </c>
      <c r="C32" s="12">
        <v>251</v>
      </c>
      <c r="D32" s="8">
        <v>3.49</v>
      </c>
      <c r="E32" s="12">
        <v>177</v>
      </c>
      <c r="F32" s="8">
        <v>4.49</v>
      </c>
      <c r="G32" s="12">
        <v>72</v>
      </c>
      <c r="H32" s="8">
        <v>2.2400000000000002</v>
      </c>
      <c r="I32" s="12">
        <v>2</v>
      </c>
    </row>
    <row r="33" spans="2:9" ht="15" customHeight="1" x14ac:dyDescent="0.2">
      <c r="B33" t="s">
        <v>106</v>
      </c>
      <c r="C33" s="12">
        <v>230</v>
      </c>
      <c r="D33" s="8">
        <v>3.2</v>
      </c>
      <c r="E33" s="12">
        <v>152</v>
      </c>
      <c r="F33" s="8">
        <v>3.86</v>
      </c>
      <c r="G33" s="12">
        <v>78</v>
      </c>
      <c r="H33" s="8">
        <v>2.4300000000000002</v>
      </c>
      <c r="I33" s="12">
        <v>0</v>
      </c>
    </row>
    <row r="34" spans="2:9" ht="15" customHeight="1" x14ac:dyDescent="0.2">
      <c r="B34" t="s">
        <v>114</v>
      </c>
      <c r="C34" s="12">
        <v>222</v>
      </c>
      <c r="D34" s="8">
        <v>3.09</v>
      </c>
      <c r="E34" s="12">
        <v>164</v>
      </c>
      <c r="F34" s="8">
        <v>4.16</v>
      </c>
      <c r="G34" s="12">
        <v>54</v>
      </c>
      <c r="H34" s="8">
        <v>1.68</v>
      </c>
      <c r="I34" s="12">
        <v>2</v>
      </c>
    </row>
    <row r="35" spans="2:9" ht="15" customHeight="1" x14ac:dyDescent="0.2">
      <c r="B35" t="s">
        <v>100</v>
      </c>
      <c r="C35" s="12">
        <v>215</v>
      </c>
      <c r="D35" s="8">
        <v>2.99</v>
      </c>
      <c r="E35" s="12">
        <v>69</v>
      </c>
      <c r="F35" s="8">
        <v>1.75</v>
      </c>
      <c r="G35" s="12">
        <v>146</v>
      </c>
      <c r="H35" s="8">
        <v>4.54</v>
      </c>
      <c r="I35" s="12">
        <v>0</v>
      </c>
    </row>
    <row r="36" spans="2:9" ht="15" customHeight="1" x14ac:dyDescent="0.2">
      <c r="B36" t="s">
        <v>104</v>
      </c>
      <c r="C36" s="12">
        <v>182</v>
      </c>
      <c r="D36" s="8">
        <v>2.5299999999999998</v>
      </c>
      <c r="E36" s="12">
        <v>92</v>
      </c>
      <c r="F36" s="8">
        <v>2.33</v>
      </c>
      <c r="G36" s="12">
        <v>90</v>
      </c>
      <c r="H36" s="8">
        <v>2.8</v>
      </c>
      <c r="I36" s="12">
        <v>0</v>
      </c>
    </row>
    <row r="37" spans="2:9" ht="15" customHeight="1" x14ac:dyDescent="0.2">
      <c r="B37" t="s">
        <v>103</v>
      </c>
      <c r="C37" s="12">
        <v>148</v>
      </c>
      <c r="D37" s="8">
        <v>2.06</v>
      </c>
      <c r="E37" s="12">
        <v>38</v>
      </c>
      <c r="F37" s="8">
        <v>0.96</v>
      </c>
      <c r="G37" s="12">
        <v>109</v>
      </c>
      <c r="H37" s="8">
        <v>3.39</v>
      </c>
      <c r="I37" s="12">
        <v>1</v>
      </c>
    </row>
    <row r="38" spans="2:9" ht="15" customHeight="1" x14ac:dyDescent="0.2">
      <c r="B38" t="s">
        <v>123</v>
      </c>
      <c r="C38" s="12">
        <v>144</v>
      </c>
      <c r="D38" s="8">
        <v>2</v>
      </c>
      <c r="E38" s="12">
        <v>119</v>
      </c>
      <c r="F38" s="8">
        <v>3.02</v>
      </c>
      <c r="G38" s="12">
        <v>25</v>
      </c>
      <c r="H38" s="8">
        <v>0.78</v>
      </c>
      <c r="I38" s="12">
        <v>0</v>
      </c>
    </row>
    <row r="39" spans="2:9" ht="15" customHeight="1" x14ac:dyDescent="0.2">
      <c r="B39" t="s">
        <v>102</v>
      </c>
      <c r="C39" s="12">
        <v>138</v>
      </c>
      <c r="D39" s="8">
        <v>1.92</v>
      </c>
      <c r="E39" s="12">
        <v>22</v>
      </c>
      <c r="F39" s="8">
        <v>0.56000000000000005</v>
      </c>
      <c r="G39" s="12">
        <v>116</v>
      </c>
      <c r="H39" s="8">
        <v>3.61</v>
      </c>
      <c r="I39" s="12">
        <v>0</v>
      </c>
    </row>
    <row r="40" spans="2:9" ht="15" customHeight="1" x14ac:dyDescent="0.2">
      <c r="B40" t="s">
        <v>111</v>
      </c>
      <c r="C40" s="12">
        <v>135</v>
      </c>
      <c r="D40" s="8">
        <v>1.88</v>
      </c>
      <c r="E40" s="12">
        <v>71</v>
      </c>
      <c r="F40" s="8">
        <v>1.8</v>
      </c>
      <c r="G40" s="12">
        <v>61</v>
      </c>
      <c r="H40" s="8">
        <v>1.9</v>
      </c>
      <c r="I40" s="12">
        <v>1</v>
      </c>
    </row>
    <row r="41" spans="2:9" ht="15" customHeight="1" x14ac:dyDescent="0.2">
      <c r="B41" t="s">
        <v>116</v>
      </c>
      <c r="C41" s="12">
        <v>133</v>
      </c>
      <c r="D41" s="8">
        <v>1.85</v>
      </c>
      <c r="E41" s="12">
        <v>2</v>
      </c>
      <c r="F41" s="8">
        <v>0.05</v>
      </c>
      <c r="G41" s="12">
        <v>119</v>
      </c>
      <c r="H41" s="8">
        <v>3.7</v>
      </c>
      <c r="I41" s="12">
        <v>2</v>
      </c>
    </row>
    <row r="42" spans="2:9" ht="15" customHeight="1" x14ac:dyDescent="0.2">
      <c r="B42" t="s">
        <v>108</v>
      </c>
      <c r="C42" s="12">
        <v>128</v>
      </c>
      <c r="D42" s="8">
        <v>1.78</v>
      </c>
      <c r="E42" s="12">
        <v>41</v>
      </c>
      <c r="F42" s="8">
        <v>1.04</v>
      </c>
      <c r="G42" s="12">
        <v>87</v>
      </c>
      <c r="H42" s="8">
        <v>2.71</v>
      </c>
      <c r="I42" s="12">
        <v>0</v>
      </c>
    </row>
    <row r="43" spans="2:9" ht="15" customHeight="1" x14ac:dyDescent="0.2">
      <c r="B43" t="s">
        <v>101</v>
      </c>
      <c r="C43" s="12">
        <v>95</v>
      </c>
      <c r="D43" s="8">
        <v>1.32</v>
      </c>
      <c r="E43" s="12">
        <v>23</v>
      </c>
      <c r="F43" s="8">
        <v>0.57999999999999996</v>
      </c>
      <c r="G43" s="12">
        <v>72</v>
      </c>
      <c r="H43" s="8">
        <v>2.2400000000000002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170</v>
      </c>
      <c r="C47" s="12">
        <v>402</v>
      </c>
      <c r="D47" s="8">
        <v>5.59</v>
      </c>
      <c r="E47" s="12">
        <v>374</v>
      </c>
      <c r="F47" s="8">
        <v>9.49</v>
      </c>
      <c r="G47" s="12">
        <v>28</v>
      </c>
      <c r="H47" s="8">
        <v>0.87</v>
      </c>
      <c r="I47" s="12">
        <v>0</v>
      </c>
    </row>
    <row r="48" spans="2:9" ht="15" customHeight="1" x14ac:dyDescent="0.2">
      <c r="B48" t="s">
        <v>164</v>
      </c>
      <c r="C48" s="12">
        <v>250</v>
      </c>
      <c r="D48" s="8">
        <v>3.48</v>
      </c>
      <c r="E48" s="12">
        <v>115</v>
      </c>
      <c r="F48" s="8">
        <v>2.92</v>
      </c>
      <c r="G48" s="12">
        <v>135</v>
      </c>
      <c r="H48" s="8">
        <v>4.2</v>
      </c>
      <c r="I48" s="12">
        <v>0</v>
      </c>
    </row>
    <row r="49" spans="2:9" ht="15" customHeight="1" x14ac:dyDescent="0.2">
      <c r="B49" t="s">
        <v>167</v>
      </c>
      <c r="C49" s="12">
        <v>221</v>
      </c>
      <c r="D49" s="8">
        <v>3.07</v>
      </c>
      <c r="E49" s="12">
        <v>206</v>
      </c>
      <c r="F49" s="8">
        <v>5.23</v>
      </c>
      <c r="G49" s="12">
        <v>15</v>
      </c>
      <c r="H49" s="8">
        <v>0.47</v>
      </c>
      <c r="I49" s="12">
        <v>0</v>
      </c>
    </row>
    <row r="50" spans="2:9" ht="15" customHeight="1" x14ac:dyDescent="0.2">
      <c r="B50" t="s">
        <v>169</v>
      </c>
      <c r="C50" s="12">
        <v>205</v>
      </c>
      <c r="D50" s="8">
        <v>2.85</v>
      </c>
      <c r="E50" s="12">
        <v>198</v>
      </c>
      <c r="F50" s="8">
        <v>5.0199999999999996</v>
      </c>
      <c r="G50" s="12">
        <v>6</v>
      </c>
      <c r="H50" s="8">
        <v>0.19</v>
      </c>
      <c r="I50" s="12">
        <v>1</v>
      </c>
    </row>
    <row r="51" spans="2:9" ht="15" customHeight="1" x14ac:dyDescent="0.2">
      <c r="B51" t="s">
        <v>172</v>
      </c>
      <c r="C51" s="12">
        <v>188</v>
      </c>
      <c r="D51" s="8">
        <v>2.61</v>
      </c>
      <c r="E51" s="12">
        <v>161</v>
      </c>
      <c r="F51" s="8">
        <v>4.08</v>
      </c>
      <c r="G51" s="12">
        <v>27</v>
      </c>
      <c r="H51" s="8">
        <v>0.84</v>
      </c>
      <c r="I51" s="12">
        <v>0</v>
      </c>
    </row>
    <row r="52" spans="2:9" ht="15" customHeight="1" x14ac:dyDescent="0.2">
      <c r="B52" t="s">
        <v>166</v>
      </c>
      <c r="C52" s="12">
        <v>186</v>
      </c>
      <c r="D52" s="8">
        <v>2.59</v>
      </c>
      <c r="E52" s="12">
        <v>152</v>
      </c>
      <c r="F52" s="8">
        <v>3.86</v>
      </c>
      <c r="G52" s="12">
        <v>34</v>
      </c>
      <c r="H52" s="8">
        <v>1.06</v>
      </c>
      <c r="I52" s="12">
        <v>0</v>
      </c>
    </row>
    <row r="53" spans="2:9" ht="15" customHeight="1" x14ac:dyDescent="0.2">
      <c r="B53" t="s">
        <v>168</v>
      </c>
      <c r="C53" s="12">
        <v>183</v>
      </c>
      <c r="D53" s="8">
        <v>2.54</v>
      </c>
      <c r="E53" s="12">
        <v>175</v>
      </c>
      <c r="F53" s="8">
        <v>4.4400000000000004</v>
      </c>
      <c r="G53" s="12">
        <v>8</v>
      </c>
      <c r="H53" s="8">
        <v>0.25</v>
      </c>
      <c r="I53" s="12">
        <v>0</v>
      </c>
    </row>
    <row r="54" spans="2:9" ht="15" customHeight="1" x14ac:dyDescent="0.2">
      <c r="B54" t="s">
        <v>160</v>
      </c>
      <c r="C54" s="12">
        <v>170</v>
      </c>
      <c r="D54" s="8">
        <v>2.36</v>
      </c>
      <c r="E54" s="12">
        <v>61</v>
      </c>
      <c r="F54" s="8">
        <v>1.55</v>
      </c>
      <c r="G54" s="12">
        <v>109</v>
      </c>
      <c r="H54" s="8">
        <v>3.39</v>
      </c>
      <c r="I54" s="12">
        <v>0</v>
      </c>
    </row>
    <row r="55" spans="2:9" ht="15" customHeight="1" x14ac:dyDescent="0.2">
      <c r="B55" t="s">
        <v>173</v>
      </c>
      <c r="C55" s="12">
        <v>143</v>
      </c>
      <c r="D55" s="8">
        <v>1.99</v>
      </c>
      <c r="E55" s="12">
        <v>119</v>
      </c>
      <c r="F55" s="8">
        <v>3.02</v>
      </c>
      <c r="G55" s="12">
        <v>24</v>
      </c>
      <c r="H55" s="8">
        <v>0.75</v>
      </c>
      <c r="I55" s="12">
        <v>0</v>
      </c>
    </row>
    <row r="56" spans="2:9" ht="15" customHeight="1" x14ac:dyDescent="0.2">
      <c r="B56" t="s">
        <v>154</v>
      </c>
      <c r="C56" s="12">
        <v>141</v>
      </c>
      <c r="D56" s="8">
        <v>1.96</v>
      </c>
      <c r="E56" s="12">
        <v>24</v>
      </c>
      <c r="F56" s="8">
        <v>0.61</v>
      </c>
      <c r="G56" s="12">
        <v>117</v>
      </c>
      <c r="H56" s="8">
        <v>3.64</v>
      </c>
      <c r="I56" s="12">
        <v>0</v>
      </c>
    </row>
    <row r="57" spans="2:9" ht="15" customHeight="1" x14ac:dyDescent="0.2">
      <c r="B57" t="s">
        <v>171</v>
      </c>
      <c r="C57" s="12">
        <v>136</v>
      </c>
      <c r="D57" s="8">
        <v>1.89</v>
      </c>
      <c r="E57" s="12">
        <v>106</v>
      </c>
      <c r="F57" s="8">
        <v>2.69</v>
      </c>
      <c r="G57" s="12">
        <v>30</v>
      </c>
      <c r="H57" s="8">
        <v>0.93</v>
      </c>
      <c r="I57" s="12">
        <v>0</v>
      </c>
    </row>
    <row r="58" spans="2:9" ht="15" customHeight="1" x14ac:dyDescent="0.2">
      <c r="B58" t="s">
        <v>161</v>
      </c>
      <c r="C58" s="12">
        <v>133</v>
      </c>
      <c r="D58" s="8">
        <v>1.85</v>
      </c>
      <c r="E58" s="12">
        <v>97</v>
      </c>
      <c r="F58" s="8">
        <v>2.46</v>
      </c>
      <c r="G58" s="12">
        <v>36</v>
      </c>
      <c r="H58" s="8">
        <v>1.1200000000000001</v>
      </c>
      <c r="I58" s="12">
        <v>0</v>
      </c>
    </row>
    <row r="59" spans="2:9" ht="15" customHeight="1" x14ac:dyDescent="0.2">
      <c r="B59" t="s">
        <v>159</v>
      </c>
      <c r="C59" s="12">
        <v>129</v>
      </c>
      <c r="D59" s="8">
        <v>1.79</v>
      </c>
      <c r="E59" s="12">
        <v>83</v>
      </c>
      <c r="F59" s="8">
        <v>2.11</v>
      </c>
      <c r="G59" s="12">
        <v>46</v>
      </c>
      <c r="H59" s="8">
        <v>1.43</v>
      </c>
      <c r="I59" s="12">
        <v>0</v>
      </c>
    </row>
    <row r="60" spans="2:9" ht="15" customHeight="1" x14ac:dyDescent="0.2">
      <c r="B60" t="s">
        <v>158</v>
      </c>
      <c r="C60" s="12">
        <v>112</v>
      </c>
      <c r="D60" s="8">
        <v>1.56</v>
      </c>
      <c r="E60" s="12">
        <v>76</v>
      </c>
      <c r="F60" s="8">
        <v>1.93</v>
      </c>
      <c r="G60" s="12">
        <v>36</v>
      </c>
      <c r="H60" s="8">
        <v>1.1200000000000001</v>
      </c>
      <c r="I60" s="12">
        <v>0</v>
      </c>
    </row>
    <row r="61" spans="2:9" ht="15" customHeight="1" x14ac:dyDescent="0.2">
      <c r="B61" t="s">
        <v>157</v>
      </c>
      <c r="C61" s="12">
        <v>111</v>
      </c>
      <c r="D61" s="8">
        <v>1.54</v>
      </c>
      <c r="E61" s="12">
        <v>56</v>
      </c>
      <c r="F61" s="8">
        <v>1.42</v>
      </c>
      <c r="G61" s="12">
        <v>55</v>
      </c>
      <c r="H61" s="8">
        <v>1.71</v>
      </c>
      <c r="I61" s="12">
        <v>0</v>
      </c>
    </row>
    <row r="62" spans="2:9" ht="15" customHeight="1" x14ac:dyDescent="0.2">
      <c r="B62" t="s">
        <v>163</v>
      </c>
      <c r="C62" s="12">
        <v>110</v>
      </c>
      <c r="D62" s="8">
        <v>1.53</v>
      </c>
      <c r="E62" s="12">
        <v>25</v>
      </c>
      <c r="F62" s="8">
        <v>0.63</v>
      </c>
      <c r="G62" s="12">
        <v>84</v>
      </c>
      <c r="H62" s="8">
        <v>2.61</v>
      </c>
      <c r="I62" s="12">
        <v>1</v>
      </c>
    </row>
    <row r="63" spans="2:9" ht="15" customHeight="1" x14ac:dyDescent="0.2">
      <c r="B63" t="s">
        <v>155</v>
      </c>
      <c r="C63" s="12">
        <v>104</v>
      </c>
      <c r="D63" s="8">
        <v>1.45</v>
      </c>
      <c r="E63" s="12">
        <v>16</v>
      </c>
      <c r="F63" s="8">
        <v>0.41</v>
      </c>
      <c r="G63" s="12">
        <v>88</v>
      </c>
      <c r="H63" s="8">
        <v>2.74</v>
      </c>
      <c r="I63" s="12">
        <v>0</v>
      </c>
    </row>
    <row r="64" spans="2:9" ht="15" customHeight="1" x14ac:dyDescent="0.2">
      <c r="B64" t="s">
        <v>162</v>
      </c>
      <c r="C64" s="12">
        <v>99</v>
      </c>
      <c r="D64" s="8">
        <v>1.38</v>
      </c>
      <c r="E64" s="12">
        <v>36</v>
      </c>
      <c r="F64" s="8">
        <v>0.91</v>
      </c>
      <c r="G64" s="12">
        <v>63</v>
      </c>
      <c r="H64" s="8">
        <v>1.96</v>
      </c>
      <c r="I64" s="12">
        <v>0</v>
      </c>
    </row>
    <row r="65" spans="2:9" ht="15" customHeight="1" x14ac:dyDescent="0.2">
      <c r="B65" t="s">
        <v>186</v>
      </c>
      <c r="C65" s="12">
        <v>98</v>
      </c>
      <c r="D65" s="8">
        <v>1.36</v>
      </c>
      <c r="E65" s="12">
        <v>41</v>
      </c>
      <c r="F65" s="8">
        <v>1.04</v>
      </c>
      <c r="G65" s="12">
        <v>57</v>
      </c>
      <c r="H65" s="8">
        <v>1.77</v>
      </c>
      <c r="I65" s="12">
        <v>0</v>
      </c>
    </row>
    <row r="66" spans="2:9" ht="15" customHeight="1" x14ac:dyDescent="0.2">
      <c r="B66" t="s">
        <v>156</v>
      </c>
      <c r="C66" s="12">
        <v>97</v>
      </c>
      <c r="D66" s="8">
        <v>1.35</v>
      </c>
      <c r="E66" s="12">
        <v>38</v>
      </c>
      <c r="F66" s="8">
        <v>0.96</v>
      </c>
      <c r="G66" s="12">
        <v>59</v>
      </c>
      <c r="H66" s="8">
        <v>1.84</v>
      </c>
      <c r="I66" s="12">
        <v>0</v>
      </c>
    </row>
    <row r="68" spans="2:9" ht="15" customHeight="1" x14ac:dyDescent="0.2">
      <c r="B68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7503C-85D5-4897-909D-28DA885F10E6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307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185</v>
      </c>
      <c r="D6" s="8">
        <v>13.17</v>
      </c>
      <c r="E6" s="12">
        <v>50</v>
      </c>
      <c r="F6" s="8">
        <v>6.93</v>
      </c>
      <c r="G6" s="12">
        <v>135</v>
      </c>
      <c r="H6" s="8">
        <v>20.03</v>
      </c>
      <c r="I6" s="12">
        <v>0</v>
      </c>
    </row>
    <row r="7" spans="2:9" ht="15" customHeight="1" x14ac:dyDescent="0.2">
      <c r="B7" t="s">
        <v>77</v>
      </c>
      <c r="C7" s="12">
        <v>171</v>
      </c>
      <c r="D7" s="8">
        <v>12.17</v>
      </c>
      <c r="E7" s="12">
        <v>70</v>
      </c>
      <c r="F7" s="8">
        <v>9.7100000000000009</v>
      </c>
      <c r="G7" s="12">
        <v>101</v>
      </c>
      <c r="H7" s="8">
        <v>14.99</v>
      </c>
      <c r="I7" s="12">
        <v>0</v>
      </c>
    </row>
    <row r="8" spans="2:9" ht="15" customHeight="1" x14ac:dyDescent="0.2">
      <c r="B8" t="s">
        <v>78</v>
      </c>
      <c r="C8" s="12">
        <v>4</v>
      </c>
      <c r="D8" s="8">
        <v>0.28000000000000003</v>
      </c>
      <c r="E8" s="12">
        <v>0</v>
      </c>
      <c r="F8" s="8">
        <v>0</v>
      </c>
      <c r="G8" s="12">
        <v>3</v>
      </c>
      <c r="H8" s="8">
        <v>0.45</v>
      </c>
      <c r="I8" s="12">
        <v>0</v>
      </c>
    </row>
    <row r="9" spans="2:9" ht="15" customHeight="1" x14ac:dyDescent="0.2">
      <c r="B9" t="s">
        <v>79</v>
      </c>
      <c r="C9" s="12">
        <v>8</v>
      </c>
      <c r="D9" s="8">
        <v>0.56999999999999995</v>
      </c>
      <c r="E9" s="12">
        <v>1</v>
      </c>
      <c r="F9" s="8">
        <v>0.14000000000000001</v>
      </c>
      <c r="G9" s="12">
        <v>7</v>
      </c>
      <c r="H9" s="8">
        <v>1.04</v>
      </c>
      <c r="I9" s="12">
        <v>0</v>
      </c>
    </row>
    <row r="10" spans="2:9" ht="15" customHeight="1" x14ac:dyDescent="0.2">
      <c r="B10" t="s">
        <v>80</v>
      </c>
      <c r="C10" s="12">
        <v>4</v>
      </c>
      <c r="D10" s="8">
        <v>0.28000000000000003</v>
      </c>
      <c r="E10" s="12">
        <v>1</v>
      </c>
      <c r="F10" s="8">
        <v>0.14000000000000001</v>
      </c>
      <c r="G10" s="12">
        <v>3</v>
      </c>
      <c r="H10" s="8">
        <v>0.45</v>
      </c>
      <c r="I10" s="12">
        <v>0</v>
      </c>
    </row>
    <row r="11" spans="2:9" ht="15" customHeight="1" x14ac:dyDescent="0.2">
      <c r="B11" t="s">
        <v>81</v>
      </c>
      <c r="C11" s="12">
        <v>404</v>
      </c>
      <c r="D11" s="8">
        <v>28.75</v>
      </c>
      <c r="E11" s="12">
        <v>191</v>
      </c>
      <c r="F11" s="8">
        <v>26.49</v>
      </c>
      <c r="G11" s="12">
        <v>213</v>
      </c>
      <c r="H11" s="8">
        <v>31.6</v>
      </c>
      <c r="I11" s="12">
        <v>0</v>
      </c>
    </row>
    <row r="12" spans="2:9" ht="15" customHeight="1" x14ac:dyDescent="0.2">
      <c r="B12" t="s">
        <v>82</v>
      </c>
      <c r="C12" s="12">
        <v>11</v>
      </c>
      <c r="D12" s="8">
        <v>0.78</v>
      </c>
      <c r="E12" s="12">
        <v>2</v>
      </c>
      <c r="F12" s="8">
        <v>0.28000000000000003</v>
      </c>
      <c r="G12" s="12">
        <v>9</v>
      </c>
      <c r="H12" s="8">
        <v>1.34</v>
      </c>
      <c r="I12" s="12">
        <v>0</v>
      </c>
    </row>
    <row r="13" spans="2:9" ht="15" customHeight="1" x14ac:dyDescent="0.2">
      <c r="B13" t="s">
        <v>83</v>
      </c>
      <c r="C13" s="12">
        <v>81</v>
      </c>
      <c r="D13" s="8">
        <v>5.77</v>
      </c>
      <c r="E13" s="12">
        <v>13</v>
      </c>
      <c r="F13" s="8">
        <v>1.8</v>
      </c>
      <c r="G13" s="12">
        <v>67</v>
      </c>
      <c r="H13" s="8">
        <v>9.94</v>
      </c>
      <c r="I13" s="12">
        <v>0</v>
      </c>
    </row>
    <row r="14" spans="2:9" ht="15" customHeight="1" x14ac:dyDescent="0.2">
      <c r="B14" t="s">
        <v>84</v>
      </c>
      <c r="C14" s="12">
        <v>59</v>
      </c>
      <c r="D14" s="8">
        <v>4.2</v>
      </c>
      <c r="E14" s="12">
        <v>33</v>
      </c>
      <c r="F14" s="8">
        <v>4.58</v>
      </c>
      <c r="G14" s="12">
        <v>24</v>
      </c>
      <c r="H14" s="8">
        <v>3.56</v>
      </c>
      <c r="I14" s="12">
        <v>0</v>
      </c>
    </row>
    <row r="15" spans="2:9" ht="15" customHeight="1" x14ac:dyDescent="0.2">
      <c r="B15" t="s">
        <v>85</v>
      </c>
      <c r="C15" s="12">
        <v>151</v>
      </c>
      <c r="D15" s="8">
        <v>10.75</v>
      </c>
      <c r="E15" s="12">
        <v>132</v>
      </c>
      <c r="F15" s="8">
        <v>18.309999999999999</v>
      </c>
      <c r="G15" s="12">
        <v>19</v>
      </c>
      <c r="H15" s="8">
        <v>2.82</v>
      </c>
      <c r="I15" s="12">
        <v>0</v>
      </c>
    </row>
    <row r="16" spans="2:9" ht="15" customHeight="1" x14ac:dyDescent="0.2">
      <c r="B16" t="s">
        <v>86</v>
      </c>
      <c r="C16" s="12">
        <v>178</v>
      </c>
      <c r="D16" s="8">
        <v>12.67</v>
      </c>
      <c r="E16" s="12">
        <v>145</v>
      </c>
      <c r="F16" s="8">
        <v>20.11</v>
      </c>
      <c r="G16" s="12">
        <v>31</v>
      </c>
      <c r="H16" s="8">
        <v>4.5999999999999996</v>
      </c>
      <c r="I16" s="12">
        <v>1</v>
      </c>
    </row>
    <row r="17" spans="2:9" ht="15" customHeight="1" x14ac:dyDescent="0.2">
      <c r="B17" t="s">
        <v>87</v>
      </c>
      <c r="C17" s="12">
        <v>28</v>
      </c>
      <c r="D17" s="8">
        <v>1.99</v>
      </c>
      <c r="E17" s="12">
        <v>15</v>
      </c>
      <c r="F17" s="8">
        <v>2.08</v>
      </c>
      <c r="G17" s="12">
        <v>12</v>
      </c>
      <c r="H17" s="8">
        <v>1.78</v>
      </c>
      <c r="I17" s="12">
        <v>0</v>
      </c>
    </row>
    <row r="18" spans="2:9" ht="15" customHeight="1" x14ac:dyDescent="0.2">
      <c r="B18" t="s">
        <v>88</v>
      </c>
      <c r="C18" s="12">
        <v>75</v>
      </c>
      <c r="D18" s="8">
        <v>5.34</v>
      </c>
      <c r="E18" s="12">
        <v>45</v>
      </c>
      <c r="F18" s="8">
        <v>6.24</v>
      </c>
      <c r="G18" s="12">
        <v>28</v>
      </c>
      <c r="H18" s="8">
        <v>4.1500000000000004</v>
      </c>
      <c r="I18" s="12">
        <v>1</v>
      </c>
    </row>
    <row r="19" spans="2:9" ht="15" customHeight="1" x14ac:dyDescent="0.2">
      <c r="B19" t="s">
        <v>89</v>
      </c>
      <c r="C19" s="12">
        <v>46</v>
      </c>
      <c r="D19" s="8">
        <v>3.27</v>
      </c>
      <c r="E19" s="12">
        <v>23</v>
      </c>
      <c r="F19" s="8">
        <v>3.19</v>
      </c>
      <c r="G19" s="12">
        <v>22</v>
      </c>
      <c r="H19" s="8">
        <v>3.26</v>
      </c>
      <c r="I19" s="12">
        <v>0</v>
      </c>
    </row>
    <row r="20" spans="2:9" ht="15" customHeight="1" x14ac:dyDescent="0.2">
      <c r="B20" s="9" t="s">
        <v>285</v>
      </c>
      <c r="C20" s="12">
        <f>SUM(LTBL_40204[総数／事業所数])</f>
        <v>1405</v>
      </c>
      <c r="E20" s="12">
        <f>SUBTOTAL(109,LTBL_40204[個人／事業所数])</f>
        <v>721</v>
      </c>
      <c r="G20" s="12">
        <f>SUBTOTAL(109,LTBL_40204[法人／事業所数])</f>
        <v>674</v>
      </c>
      <c r="I20" s="12">
        <f>SUBTOTAL(109,LTBL_40204[法人以外の団体／事業所数])</f>
        <v>2</v>
      </c>
    </row>
    <row r="21" spans="2:9" ht="15" customHeight="1" x14ac:dyDescent="0.2">
      <c r="E21" s="11">
        <f>LTBL_40204[[#Totals],[個人／事業所数]]/LTBL_40204[[#Totals],[総数／事業所数]]</f>
        <v>0.51316725978647681</v>
      </c>
      <c r="G21" s="11">
        <f>LTBL_40204[[#Totals],[法人／事業所数]]/LTBL_40204[[#Totals],[総数／事業所数]]</f>
        <v>0.47971530249110322</v>
      </c>
      <c r="I21" s="11">
        <f>LTBL_40204[[#Totals],[法人以外の団体／事業所数]]/LTBL_40204[[#Totals],[総数／事業所数]]</f>
        <v>1.4234875444839859E-3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152</v>
      </c>
      <c r="D24" s="8">
        <v>10.82</v>
      </c>
      <c r="E24" s="12">
        <v>132</v>
      </c>
      <c r="F24" s="8">
        <v>18.309999999999999</v>
      </c>
      <c r="G24" s="12">
        <v>20</v>
      </c>
      <c r="H24" s="8">
        <v>2.97</v>
      </c>
      <c r="I24" s="12">
        <v>0</v>
      </c>
    </row>
    <row r="25" spans="2:9" ht="15" customHeight="1" x14ac:dyDescent="0.2">
      <c r="B25" t="s">
        <v>112</v>
      </c>
      <c r="C25" s="12">
        <v>137</v>
      </c>
      <c r="D25" s="8">
        <v>9.75</v>
      </c>
      <c r="E25" s="12">
        <v>125</v>
      </c>
      <c r="F25" s="8">
        <v>17.34</v>
      </c>
      <c r="G25" s="12">
        <v>12</v>
      </c>
      <c r="H25" s="8">
        <v>1.78</v>
      </c>
      <c r="I25" s="12">
        <v>0</v>
      </c>
    </row>
    <row r="26" spans="2:9" ht="15" customHeight="1" x14ac:dyDescent="0.2">
      <c r="B26" t="s">
        <v>107</v>
      </c>
      <c r="C26" s="12">
        <v>129</v>
      </c>
      <c r="D26" s="8">
        <v>9.18</v>
      </c>
      <c r="E26" s="12">
        <v>58</v>
      </c>
      <c r="F26" s="8">
        <v>8.0399999999999991</v>
      </c>
      <c r="G26" s="12">
        <v>71</v>
      </c>
      <c r="H26" s="8">
        <v>10.53</v>
      </c>
      <c r="I26" s="12">
        <v>0</v>
      </c>
    </row>
    <row r="27" spans="2:9" ht="15" customHeight="1" x14ac:dyDescent="0.2">
      <c r="B27" t="s">
        <v>98</v>
      </c>
      <c r="C27" s="12">
        <v>100</v>
      </c>
      <c r="D27" s="8">
        <v>7.12</v>
      </c>
      <c r="E27" s="12">
        <v>22</v>
      </c>
      <c r="F27" s="8">
        <v>3.05</v>
      </c>
      <c r="G27" s="12">
        <v>78</v>
      </c>
      <c r="H27" s="8">
        <v>11.57</v>
      </c>
      <c r="I27" s="12">
        <v>0</v>
      </c>
    </row>
    <row r="28" spans="2:9" ht="15" customHeight="1" x14ac:dyDescent="0.2">
      <c r="B28" t="s">
        <v>105</v>
      </c>
      <c r="C28" s="12">
        <v>93</v>
      </c>
      <c r="D28" s="8">
        <v>6.62</v>
      </c>
      <c r="E28" s="12">
        <v>71</v>
      </c>
      <c r="F28" s="8">
        <v>9.85</v>
      </c>
      <c r="G28" s="12">
        <v>22</v>
      </c>
      <c r="H28" s="8">
        <v>3.26</v>
      </c>
      <c r="I28" s="12">
        <v>0</v>
      </c>
    </row>
    <row r="29" spans="2:9" ht="15" customHeight="1" x14ac:dyDescent="0.2">
      <c r="B29" t="s">
        <v>109</v>
      </c>
      <c r="C29" s="12">
        <v>63</v>
      </c>
      <c r="D29" s="8">
        <v>4.4800000000000004</v>
      </c>
      <c r="E29" s="12">
        <v>9</v>
      </c>
      <c r="F29" s="8">
        <v>1.25</v>
      </c>
      <c r="G29" s="12">
        <v>53</v>
      </c>
      <c r="H29" s="8">
        <v>7.86</v>
      </c>
      <c r="I29" s="12">
        <v>0</v>
      </c>
    </row>
    <row r="30" spans="2:9" ht="15" customHeight="1" x14ac:dyDescent="0.2">
      <c r="B30" t="s">
        <v>115</v>
      </c>
      <c r="C30" s="12">
        <v>51</v>
      </c>
      <c r="D30" s="8">
        <v>3.63</v>
      </c>
      <c r="E30" s="12">
        <v>44</v>
      </c>
      <c r="F30" s="8">
        <v>6.1</v>
      </c>
      <c r="G30" s="12">
        <v>6</v>
      </c>
      <c r="H30" s="8">
        <v>0.89</v>
      </c>
      <c r="I30" s="12">
        <v>1</v>
      </c>
    </row>
    <row r="31" spans="2:9" ht="15" customHeight="1" x14ac:dyDescent="0.2">
      <c r="B31" t="s">
        <v>104</v>
      </c>
      <c r="C31" s="12">
        <v>50</v>
      </c>
      <c r="D31" s="8">
        <v>3.56</v>
      </c>
      <c r="E31" s="12">
        <v>18</v>
      </c>
      <c r="F31" s="8">
        <v>2.5</v>
      </c>
      <c r="G31" s="12">
        <v>32</v>
      </c>
      <c r="H31" s="8">
        <v>4.75</v>
      </c>
      <c r="I31" s="12">
        <v>0</v>
      </c>
    </row>
    <row r="32" spans="2:9" ht="15" customHeight="1" x14ac:dyDescent="0.2">
      <c r="B32" t="s">
        <v>106</v>
      </c>
      <c r="C32" s="12">
        <v>47</v>
      </c>
      <c r="D32" s="8">
        <v>3.35</v>
      </c>
      <c r="E32" s="12">
        <v>31</v>
      </c>
      <c r="F32" s="8">
        <v>4.3</v>
      </c>
      <c r="G32" s="12">
        <v>16</v>
      </c>
      <c r="H32" s="8">
        <v>2.37</v>
      </c>
      <c r="I32" s="12">
        <v>0</v>
      </c>
    </row>
    <row r="33" spans="2:9" ht="15" customHeight="1" x14ac:dyDescent="0.2">
      <c r="B33" t="s">
        <v>99</v>
      </c>
      <c r="C33" s="12">
        <v>43</v>
      </c>
      <c r="D33" s="8">
        <v>3.06</v>
      </c>
      <c r="E33" s="12">
        <v>15</v>
      </c>
      <c r="F33" s="8">
        <v>2.08</v>
      </c>
      <c r="G33" s="12">
        <v>28</v>
      </c>
      <c r="H33" s="8">
        <v>4.1500000000000004</v>
      </c>
      <c r="I33" s="12">
        <v>0</v>
      </c>
    </row>
    <row r="34" spans="2:9" ht="15" customHeight="1" x14ac:dyDescent="0.2">
      <c r="B34" t="s">
        <v>100</v>
      </c>
      <c r="C34" s="12">
        <v>42</v>
      </c>
      <c r="D34" s="8">
        <v>2.99</v>
      </c>
      <c r="E34" s="12">
        <v>13</v>
      </c>
      <c r="F34" s="8">
        <v>1.8</v>
      </c>
      <c r="G34" s="12">
        <v>29</v>
      </c>
      <c r="H34" s="8">
        <v>4.3</v>
      </c>
      <c r="I34" s="12">
        <v>0</v>
      </c>
    </row>
    <row r="35" spans="2:9" ht="15" customHeight="1" x14ac:dyDescent="0.2">
      <c r="B35" t="s">
        <v>129</v>
      </c>
      <c r="C35" s="12">
        <v>38</v>
      </c>
      <c r="D35" s="8">
        <v>2.7</v>
      </c>
      <c r="E35" s="12">
        <v>9</v>
      </c>
      <c r="F35" s="8">
        <v>1.25</v>
      </c>
      <c r="G35" s="12">
        <v>29</v>
      </c>
      <c r="H35" s="8">
        <v>4.3</v>
      </c>
      <c r="I35" s="12">
        <v>0</v>
      </c>
    </row>
    <row r="36" spans="2:9" ht="15" customHeight="1" x14ac:dyDescent="0.2">
      <c r="B36" t="s">
        <v>110</v>
      </c>
      <c r="C36" s="12">
        <v>36</v>
      </c>
      <c r="D36" s="8">
        <v>2.56</v>
      </c>
      <c r="E36" s="12">
        <v>22</v>
      </c>
      <c r="F36" s="8">
        <v>3.05</v>
      </c>
      <c r="G36" s="12">
        <v>14</v>
      </c>
      <c r="H36" s="8">
        <v>2.08</v>
      </c>
      <c r="I36" s="12">
        <v>0</v>
      </c>
    </row>
    <row r="37" spans="2:9" ht="15" customHeight="1" x14ac:dyDescent="0.2">
      <c r="B37" t="s">
        <v>119</v>
      </c>
      <c r="C37" s="12">
        <v>32</v>
      </c>
      <c r="D37" s="8">
        <v>2.2799999999999998</v>
      </c>
      <c r="E37" s="12">
        <v>11</v>
      </c>
      <c r="F37" s="8">
        <v>1.53</v>
      </c>
      <c r="G37" s="12">
        <v>21</v>
      </c>
      <c r="H37" s="8">
        <v>3.12</v>
      </c>
      <c r="I37" s="12">
        <v>0</v>
      </c>
    </row>
    <row r="38" spans="2:9" ht="15" customHeight="1" x14ac:dyDescent="0.2">
      <c r="B38" t="s">
        <v>114</v>
      </c>
      <c r="C38" s="12">
        <v>28</v>
      </c>
      <c r="D38" s="8">
        <v>1.99</v>
      </c>
      <c r="E38" s="12">
        <v>15</v>
      </c>
      <c r="F38" s="8">
        <v>2.08</v>
      </c>
      <c r="G38" s="12">
        <v>12</v>
      </c>
      <c r="H38" s="8">
        <v>1.78</v>
      </c>
      <c r="I38" s="12">
        <v>0</v>
      </c>
    </row>
    <row r="39" spans="2:9" ht="15" customHeight="1" x14ac:dyDescent="0.2">
      <c r="B39" t="s">
        <v>101</v>
      </c>
      <c r="C39" s="12">
        <v>27</v>
      </c>
      <c r="D39" s="8">
        <v>1.92</v>
      </c>
      <c r="E39" s="12">
        <v>4</v>
      </c>
      <c r="F39" s="8">
        <v>0.55000000000000004</v>
      </c>
      <c r="G39" s="12">
        <v>23</v>
      </c>
      <c r="H39" s="8">
        <v>3.41</v>
      </c>
      <c r="I39" s="12">
        <v>0</v>
      </c>
    </row>
    <row r="40" spans="2:9" ht="15" customHeight="1" x14ac:dyDescent="0.2">
      <c r="B40" t="s">
        <v>116</v>
      </c>
      <c r="C40" s="12">
        <v>24</v>
      </c>
      <c r="D40" s="8">
        <v>1.71</v>
      </c>
      <c r="E40" s="12">
        <v>1</v>
      </c>
      <c r="F40" s="8">
        <v>0.14000000000000001</v>
      </c>
      <c r="G40" s="12">
        <v>22</v>
      </c>
      <c r="H40" s="8">
        <v>3.26</v>
      </c>
      <c r="I40" s="12">
        <v>0</v>
      </c>
    </row>
    <row r="41" spans="2:9" ht="15" customHeight="1" x14ac:dyDescent="0.2">
      <c r="B41" t="s">
        <v>128</v>
      </c>
      <c r="C41" s="12">
        <v>21</v>
      </c>
      <c r="D41" s="8">
        <v>1.49</v>
      </c>
      <c r="E41" s="12">
        <v>13</v>
      </c>
      <c r="F41" s="8">
        <v>1.8</v>
      </c>
      <c r="G41" s="12">
        <v>8</v>
      </c>
      <c r="H41" s="8">
        <v>1.19</v>
      </c>
      <c r="I41" s="12">
        <v>0</v>
      </c>
    </row>
    <row r="42" spans="2:9" ht="15" customHeight="1" x14ac:dyDescent="0.2">
      <c r="B42" t="s">
        <v>111</v>
      </c>
      <c r="C42" s="12">
        <v>21</v>
      </c>
      <c r="D42" s="8">
        <v>1.49</v>
      </c>
      <c r="E42" s="12">
        <v>11</v>
      </c>
      <c r="F42" s="8">
        <v>1.53</v>
      </c>
      <c r="G42" s="12">
        <v>9</v>
      </c>
      <c r="H42" s="8">
        <v>1.34</v>
      </c>
      <c r="I42" s="12">
        <v>0</v>
      </c>
    </row>
    <row r="43" spans="2:9" ht="15" customHeight="1" x14ac:dyDescent="0.2">
      <c r="B43" t="s">
        <v>123</v>
      </c>
      <c r="C43" s="12">
        <v>19</v>
      </c>
      <c r="D43" s="8">
        <v>1.35</v>
      </c>
      <c r="E43" s="12">
        <v>16</v>
      </c>
      <c r="F43" s="8">
        <v>2.2200000000000002</v>
      </c>
      <c r="G43" s="12">
        <v>3</v>
      </c>
      <c r="H43" s="8">
        <v>0.45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170</v>
      </c>
      <c r="C47" s="12">
        <v>84</v>
      </c>
      <c r="D47" s="8">
        <v>5.98</v>
      </c>
      <c r="E47" s="12">
        <v>76</v>
      </c>
      <c r="F47" s="8">
        <v>10.54</v>
      </c>
      <c r="G47" s="12">
        <v>8</v>
      </c>
      <c r="H47" s="8">
        <v>1.19</v>
      </c>
      <c r="I47" s="12">
        <v>0</v>
      </c>
    </row>
    <row r="48" spans="2:9" ht="15" customHeight="1" x14ac:dyDescent="0.2">
      <c r="B48" t="s">
        <v>154</v>
      </c>
      <c r="C48" s="12">
        <v>54</v>
      </c>
      <c r="D48" s="8">
        <v>3.84</v>
      </c>
      <c r="E48" s="12">
        <v>10</v>
      </c>
      <c r="F48" s="8">
        <v>1.39</v>
      </c>
      <c r="G48" s="12">
        <v>44</v>
      </c>
      <c r="H48" s="8">
        <v>6.53</v>
      </c>
      <c r="I48" s="12">
        <v>0</v>
      </c>
    </row>
    <row r="49" spans="2:9" ht="15" customHeight="1" x14ac:dyDescent="0.2">
      <c r="B49" t="s">
        <v>169</v>
      </c>
      <c r="C49" s="12">
        <v>45</v>
      </c>
      <c r="D49" s="8">
        <v>3.2</v>
      </c>
      <c r="E49" s="12">
        <v>45</v>
      </c>
      <c r="F49" s="8">
        <v>6.24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168</v>
      </c>
      <c r="C50" s="12">
        <v>43</v>
      </c>
      <c r="D50" s="8">
        <v>3.06</v>
      </c>
      <c r="E50" s="12">
        <v>42</v>
      </c>
      <c r="F50" s="8">
        <v>5.83</v>
      </c>
      <c r="G50" s="12">
        <v>1</v>
      </c>
      <c r="H50" s="8">
        <v>0.15</v>
      </c>
      <c r="I50" s="12">
        <v>0</v>
      </c>
    </row>
    <row r="51" spans="2:9" ht="15" customHeight="1" x14ac:dyDescent="0.2">
      <c r="B51" t="s">
        <v>172</v>
      </c>
      <c r="C51" s="12">
        <v>37</v>
      </c>
      <c r="D51" s="8">
        <v>2.63</v>
      </c>
      <c r="E51" s="12">
        <v>31</v>
      </c>
      <c r="F51" s="8">
        <v>4.3</v>
      </c>
      <c r="G51" s="12">
        <v>5</v>
      </c>
      <c r="H51" s="8">
        <v>0.74</v>
      </c>
      <c r="I51" s="12">
        <v>1</v>
      </c>
    </row>
    <row r="52" spans="2:9" ht="15" customHeight="1" x14ac:dyDescent="0.2">
      <c r="B52" t="s">
        <v>161</v>
      </c>
      <c r="C52" s="12">
        <v>35</v>
      </c>
      <c r="D52" s="8">
        <v>2.4900000000000002</v>
      </c>
      <c r="E52" s="12">
        <v>24</v>
      </c>
      <c r="F52" s="8">
        <v>3.33</v>
      </c>
      <c r="G52" s="12">
        <v>11</v>
      </c>
      <c r="H52" s="8">
        <v>1.63</v>
      </c>
      <c r="I52" s="12">
        <v>0</v>
      </c>
    </row>
    <row r="53" spans="2:9" ht="15" customHeight="1" x14ac:dyDescent="0.2">
      <c r="B53" t="s">
        <v>164</v>
      </c>
      <c r="C53" s="12">
        <v>35</v>
      </c>
      <c r="D53" s="8">
        <v>2.4900000000000002</v>
      </c>
      <c r="E53" s="12">
        <v>7</v>
      </c>
      <c r="F53" s="8">
        <v>0.97</v>
      </c>
      <c r="G53" s="12">
        <v>27</v>
      </c>
      <c r="H53" s="8">
        <v>4.01</v>
      </c>
      <c r="I53" s="12">
        <v>0</v>
      </c>
    </row>
    <row r="54" spans="2:9" ht="15" customHeight="1" x14ac:dyDescent="0.2">
      <c r="B54" t="s">
        <v>157</v>
      </c>
      <c r="C54" s="12">
        <v>34</v>
      </c>
      <c r="D54" s="8">
        <v>2.42</v>
      </c>
      <c r="E54" s="12">
        <v>14</v>
      </c>
      <c r="F54" s="8">
        <v>1.94</v>
      </c>
      <c r="G54" s="12">
        <v>20</v>
      </c>
      <c r="H54" s="8">
        <v>2.97</v>
      </c>
      <c r="I54" s="12">
        <v>0</v>
      </c>
    </row>
    <row r="55" spans="2:9" ht="15" customHeight="1" x14ac:dyDescent="0.2">
      <c r="B55" t="s">
        <v>158</v>
      </c>
      <c r="C55" s="12">
        <v>31</v>
      </c>
      <c r="D55" s="8">
        <v>2.21</v>
      </c>
      <c r="E55" s="12">
        <v>18</v>
      </c>
      <c r="F55" s="8">
        <v>2.5</v>
      </c>
      <c r="G55" s="12">
        <v>13</v>
      </c>
      <c r="H55" s="8">
        <v>1.93</v>
      </c>
      <c r="I55" s="12">
        <v>0</v>
      </c>
    </row>
    <row r="56" spans="2:9" ht="15" customHeight="1" x14ac:dyDescent="0.2">
      <c r="B56" t="s">
        <v>159</v>
      </c>
      <c r="C56" s="12">
        <v>31</v>
      </c>
      <c r="D56" s="8">
        <v>2.21</v>
      </c>
      <c r="E56" s="12">
        <v>20</v>
      </c>
      <c r="F56" s="8">
        <v>2.77</v>
      </c>
      <c r="G56" s="12">
        <v>11</v>
      </c>
      <c r="H56" s="8">
        <v>1.63</v>
      </c>
      <c r="I56" s="12">
        <v>0</v>
      </c>
    </row>
    <row r="57" spans="2:9" ht="15" customHeight="1" x14ac:dyDescent="0.2">
      <c r="B57" t="s">
        <v>177</v>
      </c>
      <c r="C57" s="12">
        <v>30</v>
      </c>
      <c r="D57" s="8">
        <v>2.14</v>
      </c>
      <c r="E57" s="12">
        <v>24</v>
      </c>
      <c r="F57" s="8">
        <v>3.33</v>
      </c>
      <c r="G57" s="12">
        <v>6</v>
      </c>
      <c r="H57" s="8">
        <v>0.89</v>
      </c>
      <c r="I57" s="12">
        <v>0</v>
      </c>
    </row>
    <row r="58" spans="2:9" ht="15" customHeight="1" x14ac:dyDescent="0.2">
      <c r="B58" t="s">
        <v>160</v>
      </c>
      <c r="C58" s="12">
        <v>30</v>
      </c>
      <c r="D58" s="8">
        <v>2.14</v>
      </c>
      <c r="E58" s="12">
        <v>8</v>
      </c>
      <c r="F58" s="8">
        <v>1.1100000000000001</v>
      </c>
      <c r="G58" s="12">
        <v>22</v>
      </c>
      <c r="H58" s="8">
        <v>3.26</v>
      </c>
      <c r="I58" s="12">
        <v>0</v>
      </c>
    </row>
    <row r="59" spans="2:9" ht="15" customHeight="1" x14ac:dyDescent="0.2">
      <c r="B59" t="s">
        <v>167</v>
      </c>
      <c r="C59" s="12">
        <v>28</v>
      </c>
      <c r="D59" s="8">
        <v>1.99</v>
      </c>
      <c r="E59" s="12">
        <v>24</v>
      </c>
      <c r="F59" s="8">
        <v>3.33</v>
      </c>
      <c r="G59" s="12">
        <v>4</v>
      </c>
      <c r="H59" s="8">
        <v>0.59</v>
      </c>
      <c r="I59" s="12">
        <v>0</v>
      </c>
    </row>
    <row r="60" spans="2:9" ht="15" customHeight="1" x14ac:dyDescent="0.2">
      <c r="B60" t="s">
        <v>178</v>
      </c>
      <c r="C60" s="12">
        <v>21</v>
      </c>
      <c r="D60" s="8">
        <v>1.49</v>
      </c>
      <c r="E60" s="12">
        <v>19</v>
      </c>
      <c r="F60" s="8">
        <v>2.64</v>
      </c>
      <c r="G60" s="12">
        <v>2</v>
      </c>
      <c r="H60" s="8">
        <v>0.3</v>
      </c>
      <c r="I60" s="12">
        <v>0</v>
      </c>
    </row>
    <row r="61" spans="2:9" ht="15" customHeight="1" x14ac:dyDescent="0.2">
      <c r="B61" t="s">
        <v>155</v>
      </c>
      <c r="C61" s="12">
        <v>19</v>
      </c>
      <c r="D61" s="8">
        <v>1.35</v>
      </c>
      <c r="E61" s="12">
        <v>4</v>
      </c>
      <c r="F61" s="8">
        <v>0.55000000000000004</v>
      </c>
      <c r="G61" s="12">
        <v>15</v>
      </c>
      <c r="H61" s="8">
        <v>2.23</v>
      </c>
      <c r="I61" s="12">
        <v>0</v>
      </c>
    </row>
    <row r="62" spans="2:9" ht="15" customHeight="1" x14ac:dyDescent="0.2">
      <c r="B62" t="s">
        <v>156</v>
      </c>
      <c r="C62" s="12">
        <v>19</v>
      </c>
      <c r="D62" s="8">
        <v>1.35</v>
      </c>
      <c r="E62" s="12">
        <v>7</v>
      </c>
      <c r="F62" s="8">
        <v>0.97</v>
      </c>
      <c r="G62" s="12">
        <v>12</v>
      </c>
      <c r="H62" s="8">
        <v>1.78</v>
      </c>
      <c r="I62" s="12">
        <v>0</v>
      </c>
    </row>
    <row r="63" spans="2:9" ht="15" customHeight="1" x14ac:dyDescent="0.2">
      <c r="B63" t="s">
        <v>207</v>
      </c>
      <c r="C63" s="12">
        <v>19</v>
      </c>
      <c r="D63" s="8">
        <v>1.35</v>
      </c>
      <c r="E63" s="12">
        <v>5</v>
      </c>
      <c r="F63" s="8">
        <v>0.69</v>
      </c>
      <c r="G63" s="12">
        <v>14</v>
      </c>
      <c r="H63" s="8">
        <v>2.08</v>
      </c>
      <c r="I63" s="12">
        <v>0</v>
      </c>
    </row>
    <row r="64" spans="2:9" ht="15" customHeight="1" x14ac:dyDescent="0.2">
      <c r="B64" t="s">
        <v>173</v>
      </c>
      <c r="C64" s="12">
        <v>19</v>
      </c>
      <c r="D64" s="8">
        <v>1.35</v>
      </c>
      <c r="E64" s="12">
        <v>16</v>
      </c>
      <c r="F64" s="8">
        <v>2.2200000000000002</v>
      </c>
      <c r="G64" s="12">
        <v>3</v>
      </c>
      <c r="H64" s="8">
        <v>0.45</v>
      </c>
      <c r="I64" s="12">
        <v>0</v>
      </c>
    </row>
    <row r="65" spans="2:9" ht="15" customHeight="1" x14ac:dyDescent="0.2">
      <c r="B65" t="s">
        <v>171</v>
      </c>
      <c r="C65" s="12">
        <v>17</v>
      </c>
      <c r="D65" s="8">
        <v>1.21</v>
      </c>
      <c r="E65" s="12">
        <v>10</v>
      </c>
      <c r="F65" s="8">
        <v>1.39</v>
      </c>
      <c r="G65" s="12">
        <v>7</v>
      </c>
      <c r="H65" s="8">
        <v>1.04</v>
      </c>
      <c r="I65" s="12">
        <v>0</v>
      </c>
    </row>
    <row r="66" spans="2:9" ht="15" customHeight="1" x14ac:dyDescent="0.2">
      <c r="B66" t="s">
        <v>180</v>
      </c>
      <c r="C66" s="12">
        <v>16</v>
      </c>
      <c r="D66" s="8">
        <v>1.1399999999999999</v>
      </c>
      <c r="E66" s="12">
        <v>2</v>
      </c>
      <c r="F66" s="8">
        <v>0.28000000000000003</v>
      </c>
      <c r="G66" s="12">
        <v>14</v>
      </c>
      <c r="H66" s="8">
        <v>2.08</v>
      </c>
      <c r="I66" s="12">
        <v>0</v>
      </c>
    </row>
    <row r="67" spans="2:9" ht="15" customHeight="1" x14ac:dyDescent="0.2">
      <c r="B67" t="s">
        <v>206</v>
      </c>
      <c r="C67" s="12">
        <v>16</v>
      </c>
      <c r="D67" s="8">
        <v>1.1399999999999999</v>
      </c>
      <c r="E67" s="12">
        <v>4</v>
      </c>
      <c r="F67" s="8">
        <v>0.55000000000000004</v>
      </c>
      <c r="G67" s="12">
        <v>12</v>
      </c>
      <c r="H67" s="8">
        <v>1.78</v>
      </c>
      <c r="I67" s="12">
        <v>0</v>
      </c>
    </row>
    <row r="68" spans="2:9" ht="15" customHeight="1" x14ac:dyDescent="0.2">
      <c r="B68" t="s">
        <v>199</v>
      </c>
      <c r="C68" s="12">
        <v>16</v>
      </c>
      <c r="D68" s="8">
        <v>1.1399999999999999</v>
      </c>
      <c r="E68" s="12">
        <v>15</v>
      </c>
      <c r="F68" s="8">
        <v>2.08</v>
      </c>
      <c r="G68" s="12">
        <v>1</v>
      </c>
      <c r="H68" s="8">
        <v>0.15</v>
      </c>
      <c r="I68" s="12">
        <v>0</v>
      </c>
    </row>
    <row r="70" spans="2:9" ht="15" customHeight="1" x14ac:dyDescent="0.2">
      <c r="B70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10EF8-23D0-4084-8D76-62F20F76C062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308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1</v>
      </c>
      <c r="D5" s="8">
        <v>0.03</v>
      </c>
      <c r="E5" s="12">
        <v>0</v>
      </c>
      <c r="F5" s="8">
        <v>0</v>
      </c>
      <c r="G5" s="12">
        <v>1</v>
      </c>
      <c r="H5" s="8">
        <v>0.08</v>
      </c>
      <c r="I5" s="12">
        <v>0</v>
      </c>
    </row>
    <row r="6" spans="2:9" ht="15" customHeight="1" x14ac:dyDescent="0.2">
      <c r="B6" t="s">
        <v>76</v>
      </c>
      <c r="C6" s="12">
        <v>396</v>
      </c>
      <c r="D6" s="8">
        <v>13.84</v>
      </c>
      <c r="E6" s="12">
        <v>104</v>
      </c>
      <c r="F6" s="8">
        <v>6.53</v>
      </c>
      <c r="G6" s="12">
        <v>292</v>
      </c>
      <c r="H6" s="8">
        <v>23.42</v>
      </c>
      <c r="I6" s="12">
        <v>0</v>
      </c>
    </row>
    <row r="7" spans="2:9" ht="15" customHeight="1" x14ac:dyDescent="0.2">
      <c r="B7" t="s">
        <v>77</v>
      </c>
      <c r="C7" s="12">
        <v>170</v>
      </c>
      <c r="D7" s="8">
        <v>5.94</v>
      </c>
      <c r="E7" s="12">
        <v>62</v>
      </c>
      <c r="F7" s="8">
        <v>3.89</v>
      </c>
      <c r="G7" s="12">
        <v>108</v>
      </c>
      <c r="H7" s="8">
        <v>8.66</v>
      </c>
      <c r="I7" s="12">
        <v>0</v>
      </c>
    </row>
    <row r="8" spans="2:9" ht="15" customHeight="1" x14ac:dyDescent="0.2">
      <c r="B8" t="s">
        <v>78</v>
      </c>
      <c r="C8" s="12">
        <v>6</v>
      </c>
      <c r="D8" s="8">
        <v>0.21</v>
      </c>
      <c r="E8" s="12">
        <v>0</v>
      </c>
      <c r="F8" s="8">
        <v>0</v>
      </c>
      <c r="G8" s="12">
        <v>6</v>
      </c>
      <c r="H8" s="8">
        <v>0.48</v>
      </c>
      <c r="I8" s="12">
        <v>0</v>
      </c>
    </row>
    <row r="9" spans="2:9" ht="15" customHeight="1" x14ac:dyDescent="0.2">
      <c r="B9" t="s">
        <v>79</v>
      </c>
      <c r="C9" s="12">
        <v>13</v>
      </c>
      <c r="D9" s="8">
        <v>0.45</v>
      </c>
      <c r="E9" s="12">
        <v>1</v>
      </c>
      <c r="F9" s="8">
        <v>0.06</v>
      </c>
      <c r="G9" s="12">
        <v>12</v>
      </c>
      <c r="H9" s="8">
        <v>0.96</v>
      </c>
      <c r="I9" s="12">
        <v>0</v>
      </c>
    </row>
    <row r="10" spans="2:9" ht="15" customHeight="1" x14ac:dyDescent="0.2">
      <c r="B10" t="s">
        <v>80</v>
      </c>
      <c r="C10" s="12">
        <v>21</v>
      </c>
      <c r="D10" s="8">
        <v>0.73</v>
      </c>
      <c r="E10" s="12">
        <v>5</v>
      </c>
      <c r="F10" s="8">
        <v>0.31</v>
      </c>
      <c r="G10" s="12">
        <v>16</v>
      </c>
      <c r="H10" s="8">
        <v>1.28</v>
      </c>
      <c r="I10" s="12">
        <v>0</v>
      </c>
    </row>
    <row r="11" spans="2:9" ht="15" customHeight="1" x14ac:dyDescent="0.2">
      <c r="B11" t="s">
        <v>81</v>
      </c>
      <c r="C11" s="12">
        <v>754</v>
      </c>
      <c r="D11" s="8">
        <v>26.35</v>
      </c>
      <c r="E11" s="12">
        <v>402</v>
      </c>
      <c r="F11" s="8">
        <v>25.24</v>
      </c>
      <c r="G11" s="12">
        <v>351</v>
      </c>
      <c r="H11" s="8">
        <v>28.15</v>
      </c>
      <c r="I11" s="12">
        <v>1</v>
      </c>
    </row>
    <row r="12" spans="2:9" ht="15" customHeight="1" x14ac:dyDescent="0.2">
      <c r="B12" t="s">
        <v>82</v>
      </c>
      <c r="C12" s="12">
        <v>25</v>
      </c>
      <c r="D12" s="8">
        <v>0.87</v>
      </c>
      <c r="E12" s="12">
        <v>8</v>
      </c>
      <c r="F12" s="8">
        <v>0.5</v>
      </c>
      <c r="G12" s="12">
        <v>17</v>
      </c>
      <c r="H12" s="8">
        <v>1.36</v>
      </c>
      <c r="I12" s="12">
        <v>0</v>
      </c>
    </row>
    <row r="13" spans="2:9" ht="15" customHeight="1" x14ac:dyDescent="0.2">
      <c r="B13" t="s">
        <v>83</v>
      </c>
      <c r="C13" s="12">
        <v>179</v>
      </c>
      <c r="D13" s="8">
        <v>6.26</v>
      </c>
      <c r="E13" s="12">
        <v>52</v>
      </c>
      <c r="F13" s="8">
        <v>3.26</v>
      </c>
      <c r="G13" s="12">
        <v>127</v>
      </c>
      <c r="H13" s="8">
        <v>10.18</v>
      </c>
      <c r="I13" s="12">
        <v>0</v>
      </c>
    </row>
    <row r="14" spans="2:9" ht="15" customHeight="1" x14ac:dyDescent="0.2">
      <c r="B14" t="s">
        <v>84</v>
      </c>
      <c r="C14" s="12">
        <v>122</v>
      </c>
      <c r="D14" s="8">
        <v>4.26</v>
      </c>
      <c r="E14" s="12">
        <v>75</v>
      </c>
      <c r="F14" s="8">
        <v>4.71</v>
      </c>
      <c r="G14" s="12">
        <v>46</v>
      </c>
      <c r="H14" s="8">
        <v>3.69</v>
      </c>
      <c r="I14" s="12">
        <v>0</v>
      </c>
    </row>
    <row r="15" spans="2:9" ht="15" customHeight="1" x14ac:dyDescent="0.2">
      <c r="B15" t="s">
        <v>85</v>
      </c>
      <c r="C15" s="12">
        <v>389</v>
      </c>
      <c r="D15" s="8">
        <v>13.6</v>
      </c>
      <c r="E15" s="12">
        <v>333</v>
      </c>
      <c r="F15" s="8">
        <v>20.9</v>
      </c>
      <c r="G15" s="12">
        <v>56</v>
      </c>
      <c r="H15" s="8">
        <v>4.49</v>
      </c>
      <c r="I15" s="12">
        <v>0</v>
      </c>
    </row>
    <row r="16" spans="2:9" ht="15" customHeight="1" x14ac:dyDescent="0.2">
      <c r="B16" t="s">
        <v>86</v>
      </c>
      <c r="C16" s="12">
        <v>425</v>
      </c>
      <c r="D16" s="8">
        <v>14.85</v>
      </c>
      <c r="E16" s="12">
        <v>351</v>
      </c>
      <c r="F16" s="8">
        <v>22.03</v>
      </c>
      <c r="G16" s="12">
        <v>73</v>
      </c>
      <c r="H16" s="8">
        <v>5.85</v>
      </c>
      <c r="I16" s="12">
        <v>1</v>
      </c>
    </row>
    <row r="17" spans="2:9" ht="15" customHeight="1" x14ac:dyDescent="0.2">
      <c r="B17" t="s">
        <v>87</v>
      </c>
      <c r="C17" s="12">
        <v>74</v>
      </c>
      <c r="D17" s="8">
        <v>2.59</v>
      </c>
      <c r="E17" s="12">
        <v>43</v>
      </c>
      <c r="F17" s="8">
        <v>2.7</v>
      </c>
      <c r="G17" s="12">
        <v>21</v>
      </c>
      <c r="H17" s="8">
        <v>1.68</v>
      </c>
      <c r="I17" s="12">
        <v>0</v>
      </c>
    </row>
    <row r="18" spans="2:9" ht="15" customHeight="1" x14ac:dyDescent="0.2">
      <c r="B18" t="s">
        <v>88</v>
      </c>
      <c r="C18" s="12">
        <v>162</v>
      </c>
      <c r="D18" s="8">
        <v>5.66</v>
      </c>
      <c r="E18" s="12">
        <v>93</v>
      </c>
      <c r="F18" s="8">
        <v>5.84</v>
      </c>
      <c r="G18" s="12">
        <v>67</v>
      </c>
      <c r="H18" s="8">
        <v>5.37</v>
      </c>
      <c r="I18" s="12">
        <v>0</v>
      </c>
    </row>
    <row r="19" spans="2:9" ht="15" customHeight="1" x14ac:dyDescent="0.2">
      <c r="B19" t="s">
        <v>89</v>
      </c>
      <c r="C19" s="12">
        <v>124</v>
      </c>
      <c r="D19" s="8">
        <v>4.33</v>
      </c>
      <c r="E19" s="12">
        <v>64</v>
      </c>
      <c r="F19" s="8">
        <v>4.0199999999999996</v>
      </c>
      <c r="G19" s="12">
        <v>54</v>
      </c>
      <c r="H19" s="8">
        <v>4.33</v>
      </c>
      <c r="I19" s="12">
        <v>0</v>
      </c>
    </row>
    <row r="20" spans="2:9" ht="15" customHeight="1" x14ac:dyDescent="0.2">
      <c r="B20" s="9" t="s">
        <v>285</v>
      </c>
      <c r="C20" s="12">
        <f>SUM(LTBL_40205[総数／事業所数])</f>
        <v>2861</v>
      </c>
      <c r="E20" s="12">
        <f>SUBTOTAL(109,LTBL_40205[個人／事業所数])</f>
        <v>1593</v>
      </c>
      <c r="G20" s="12">
        <f>SUBTOTAL(109,LTBL_40205[法人／事業所数])</f>
        <v>1247</v>
      </c>
      <c r="I20" s="12">
        <f>SUBTOTAL(109,LTBL_40205[法人以外の団体／事業所数])</f>
        <v>2</v>
      </c>
    </row>
    <row r="21" spans="2:9" ht="15" customHeight="1" x14ac:dyDescent="0.2">
      <c r="E21" s="11">
        <f>LTBL_40205[[#Totals],[個人／事業所数]]/LTBL_40205[[#Totals],[総数／事業所数]]</f>
        <v>0.5567983222649423</v>
      </c>
      <c r="G21" s="11">
        <f>LTBL_40205[[#Totals],[法人／事業所数]]/LTBL_40205[[#Totals],[総数／事業所数]]</f>
        <v>0.43586158685774207</v>
      </c>
      <c r="I21" s="11">
        <f>LTBL_40205[[#Totals],[法人以外の団体／事業所数]]/LTBL_40205[[#Totals],[総数／事業所数]]</f>
        <v>6.9905627403005937E-4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356</v>
      </c>
      <c r="D24" s="8">
        <v>12.44</v>
      </c>
      <c r="E24" s="12">
        <v>311</v>
      </c>
      <c r="F24" s="8">
        <v>19.52</v>
      </c>
      <c r="G24" s="12">
        <v>45</v>
      </c>
      <c r="H24" s="8">
        <v>3.61</v>
      </c>
      <c r="I24" s="12">
        <v>0</v>
      </c>
    </row>
    <row r="25" spans="2:9" ht="15" customHeight="1" x14ac:dyDescent="0.2">
      <c r="B25" t="s">
        <v>112</v>
      </c>
      <c r="C25" s="12">
        <v>327</v>
      </c>
      <c r="D25" s="8">
        <v>11.43</v>
      </c>
      <c r="E25" s="12">
        <v>300</v>
      </c>
      <c r="F25" s="8">
        <v>18.829999999999998</v>
      </c>
      <c r="G25" s="12">
        <v>27</v>
      </c>
      <c r="H25" s="8">
        <v>2.17</v>
      </c>
      <c r="I25" s="12">
        <v>0</v>
      </c>
    </row>
    <row r="26" spans="2:9" ht="15" customHeight="1" x14ac:dyDescent="0.2">
      <c r="B26" t="s">
        <v>98</v>
      </c>
      <c r="C26" s="12">
        <v>212</v>
      </c>
      <c r="D26" s="8">
        <v>7.41</v>
      </c>
      <c r="E26" s="12">
        <v>43</v>
      </c>
      <c r="F26" s="8">
        <v>2.7</v>
      </c>
      <c r="G26" s="12">
        <v>169</v>
      </c>
      <c r="H26" s="8">
        <v>13.55</v>
      </c>
      <c r="I26" s="12">
        <v>0</v>
      </c>
    </row>
    <row r="27" spans="2:9" ht="15" customHeight="1" x14ac:dyDescent="0.2">
      <c r="B27" t="s">
        <v>107</v>
      </c>
      <c r="C27" s="12">
        <v>212</v>
      </c>
      <c r="D27" s="8">
        <v>7.41</v>
      </c>
      <c r="E27" s="12">
        <v>106</v>
      </c>
      <c r="F27" s="8">
        <v>6.65</v>
      </c>
      <c r="G27" s="12">
        <v>106</v>
      </c>
      <c r="H27" s="8">
        <v>8.5</v>
      </c>
      <c r="I27" s="12">
        <v>0</v>
      </c>
    </row>
    <row r="28" spans="2:9" ht="15" customHeight="1" x14ac:dyDescent="0.2">
      <c r="B28" t="s">
        <v>105</v>
      </c>
      <c r="C28" s="12">
        <v>161</v>
      </c>
      <c r="D28" s="8">
        <v>5.63</v>
      </c>
      <c r="E28" s="12">
        <v>118</v>
      </c>
      <c r="F28" s="8">
        <v>7.41</v>
      </c>
      <c r="G28" s="12">
        <v>43</v>
      </c>
      <c r="H28" s="8">
        <v>3.45</v>
      </c>
      <c r="I28" s="12">
        <v>0</v>
      </c>
    </row>
    <row r="29" spans="2:9" ht="15" customHeight="1" x14ac:dyDescent="0.2">
      <c r="B29" t="s">
        <v>109</v>
      </c>
      <c r="C29" s="12">
        <v>125</v>
      </c>
      <c r="D29" s="8">
        <v>4.37</v>
      </c>
      <c r="E29" s="12">
        <v>36</v>
      </c>
      <c r="F29" s="8">
        <v>2.2599999999999998</v>
      </c>
      <c r="G29" s="12">
        <v>89</v>
      </c>
      <c r="H29" s="8">
        <v>7.14</v>
      </c>
      <c r="I29" s="12">
        <v>0</v>
      </c>
    </row>
    <row r="30" spans="2:9" ht="15" customHeight="1" x14ac:dyDescent="0.2">
      <c r="B30" t="s">
        <v>106</v>
      </c>
      <c r="C30" s="12">
        <v>117</v>
      </c>
      <c r="D30" s="8">
        <v>4.09</v>
      </c>
      <c r="E30" s="12">
        <v>83</v>
      </c>
      <c r="F30" s="8">
        <v>5.21</v>
      </c>
      <c r="G30" s="12">
        <v>34</v>
      </c>
      <c r="H30" s="8">
        <v>2.73</v>
      </c>
      <c r="I30" s="12">
        <v>0</v>
      </c>
    </row>
    <row r="31" spans="2:9" ht="15" customHeight="1" x14ac:dyDescent="0.2">
      <c r="B31" t="s">
        <v>115</v>
      </c>
      <c r="C31" s="12">
        <v>110</v>
      </c>
      <c r="D31" s="8">
        <v>3.84</v>
      </c>
      <c r="E31" s="12">
        <v>92</v>
      </c>
      <c r="F31" s="8">
        <v>5.78</v>
      </c>
      <c r="G31" s="12">
        <v>18</v>
      </c>
      <c r="H31" s="8">
        <v>1.44</v>
      </c>
      <c r="I31" s="12">
        <v>0</v>
      </c>
    </row>
    <row r="32" spans="2:9" ht="15" customHeight="1" x14ac:dyDescent="0.2">
      <c r="B32" t="s">
        <v>99</v>
      </c>
      <c r="C32" s="12">
        <v>99</v>
      </c>
      <c r="D32" s="8">
        <v>3.46</v>
      </c>
      <c r="E32" s="12">
        <v>38</v>
      </c>
      <c r="F32" s="8">
        <v>2.39</v>
      </c>
      <c r="G32" s="12">
        <v>61</v>
      </c>
      <c r="H32" s="8">
        <v>4.8899999999999997</v>
      </c>
      <c r="I32" s="12">
        <v>0</v>
      </c>
    </row>
    <row r="33" spans="2:9" ht="15" customHeight="1" x14ac:dyDescent="0.2">
      <c r="B33" t="s">
        <v>104</v>
      </c>
      <c r="C33" s="12">
        <v>88</v>
      </c>
      <c r="D33" s="8">
        <v>3.08</v>
      </c>
      <c r="E33" s="12">
        <v>51</v>
      </c>
      <c r="F33" s="8">
        <v>3.2</v>
      </c>
      <c r="G33" s="12">
        <v>37</v>
      </c>
      <c r="H33" s="8">
        <v>2.97</v>
      </c>
      <c r="I33" s="12">
        <v>0</v>
      </c>
    </row>
    <row r="34" spans="2:9" ht="15" customHeight="1" x14ac:dyDescent="0.2">
      <c r="B34" t="s">
        <v>100</v>
      </c>
      <c r="C34" s="12">
        <v>85</v>
      </c>
      <c r="D34" s="8">
        <v>2.97</v>
      </c>
      <c r="E34" s="12">
        <v>23</v>
      </c>
      <c r="F34" s="8">
        <v>1.44</v>
      </c>
      <c r="G34" s="12">
        <v>62</v>
      </c>
      <c r="H34" s="8">
        <v>4.97</v>
      </c>
      <c r="I34" s="12">
        <v>0</v>
      </c>
    </row>
    <row r="35" spans="2:9" ht="15" customHeight="1" x14ac:dyDescent="0.2">
      <c r="B35" t="s">
        <v>114</v>
      </c>
      <c r="C35" s="12">
        <v>74</v>
      </c>
      <c r="D35" s="8">
        <v>2.59</v>
      </c>
      <c r="E35" s="12">
        <v>43</v>
      </c>
      <c r="F35" s="8">
        <v>2.7</v>
      </c>
      <c r="G35" s="12">
        <v>21</v>
      </c>
      <c r="H35" s="8">
        <v>1.68</v>
      </c>
      <c r="I35" s="12">
        <v>0</v>
      </c>
    </row>
    <row r="36" spans="2:9" ht="15" customHeight="1" x14ac:dyDescent="0.2">
      <c r="B36" t="s">
        <v>110</v>
      </c>
      <c r="C36" s="12">
        <v>65</v>
      </c>
      <c r="D36" s="8">
        <v>2.27</v>
      </c>
      <c r="E36" s="12">
        <v>49</v>
      </c>
      <c r="F36" s="8">
        <v>3.08</v>
      </c>
      <c r="G36" s="12">
        <v>16</v>
      </c>
      <c r="H36" s="8">
        <v>1.28</v>
      </c>
      <c r="I36" s="12">
        <v>0</v>
      </c>
    </row>
    <row r="37" spans="2:9" ht="15" customHeight="1" x14ac:dyDescent="0.2">
      <c r="B37" t="s">
        <v>123</v>
      </c>
      <c r="C37" s="12">
        <v>61</v>
      </c>
      <c r="D37" s="8">
        <v>2.13</v>
      </c>
      <c r="E37" s="12">
        <v>50</v>
      </c>
      <c r="F37" s="8">
        <v>3.14</v>
      </c>
      <c r="G37" s="12">
        <v>11</v>
      </c>
      <c r="H37" s="8">
        <v>0.88</v>
      </c>
      <c r="I37" s="12">
        <v>0</v>
      </c>
    </row>
    <row r="38" spans="2:9" ht="15" customHeight="1" x14ac:dyDescent="0.2">
      <c r="B38" t="s">
        <v>111</v>
      </c>
      <c r="C38" s="12">
        <v>54</v>
      </c>
      <c r="D38" s="8">
        <v>1.89</v>
      </c>
      <c r="E38" s="12">
        <v>26</v>
      </c>
      <c r="F38" s="8">
        <v>1.63</v>
      </c>
      <c r="G38" s="12">
        <v>27</v>
      </c>
      <c r="H38" s="8">
        <v>2.17</v>
      </c>
      <c r="I38" s="12">
        <v>0</v>
      </c>
    </row>
    <row r="39" spans="2:9" ht="15" customHeight="1" x14ac:dyDescent="0.2">
      <c r="B39" t="s">
        <v>116</v>
      </c>
      <c r="C39" s="12">
        <v>52</v>
      </c>
      <c r="D39" s="8">
        <v>1.82</v>
      </c>
      <c r="E39" s="12">
        <v>1</v>
      </c>
      <c r="F39" s="8">
        <v>0.06</v>
      </c>
      <c r="G39" s="12">
        <v>49</v>
      </c>
      <c r="H39" s="8">
        <v>3.93</v>
      </c>
      <c r="I39" s="12">
        <v>0</v>
      </c>
    </row>
    <row r="40" spans="2:9" ht="15" customHeight="1" x14ac:dyDescent="0.2">
      <c r="B40" t="s">
        <v>121</v>
      </c>
      <c r="C40" s="12">
        <v>51</v>
      </c>
      <c r="D40" s="8">
        <v>1.78</v>
      </c>
      <c r="E40" s="12">
        <v>27</v>
      </c>
      <c r="F40" s="8">
        <v>1.69</v>
      </c>
      <c r="G40" s="12">
        <v>24</v>
      </c>
      <c r="H40" s="8">
        <v>1.92</v>
      </c>
      <c r="I40" s="12">
        <v>0</v>
      </c>
    </row>
    <row r="41" spans="2:9" ht="15" customHeight="1" x14ac:dyDescent="0.2">
      <c r="B41" t="s">
        <v>102</v>
      </c>
      <c r="C41" s="12">
        <v>49</v>
      </c>
      <c r="D41" s="8">
        <v>1.71</v>
      </c>
      <c r="E41" s="12">
        <v>7</v>
      </c>
      <c r="F41" s="8">
        <v>0.44</v>
      </c>
      <c r="G41" s="12">
        <v>42</v>
      </c>
      <c r="H41" s="8">
        <v>3.37</v>
      </c>
      <c r="I41" s="12">
        <v>0</v>
      </c>
    </row>
    <row r="42" spans="2:9" ht="15" customHeight="1" x14ac:dyDescent="0.2">
      <c r="B42" t="s">
        <v>118</v>
      </c>
      <c r="C42" s="12">
        <v>46</v>
      </c>
      <c r="D42" s="8">
        <v>1.61</v>
      </c>
      <c r="E42" s="12">
        <v>27</v>
      </c>
      <c r="F42" s="8">
        <v>1.69</v>
      </c>
      <c r="G42" s="12">
        <v>19</v>
      </c>
      <c r="H42" s="8">
        <v>1.52</v>
      </c>
      <c r="I42" s="12">
        <v>0</v>
      </c>
    </row>
    <row r="43" spans="2:9" ht="15" customHeight="1" x14ac:dyDescent="0.2">
      <c r="B43" t="s">
        <v>101</v>
      </c>
      <c r="C43" s="12">
        <v>40</v>
      </c>
      <c r="D43" s="8">
        <v>1.4</v>
      </c>
      <c r="E43" s="12">
        <v>8</v>
      </c>
      <c r="F43" s="8">
        <v>0.5</v>
      </c>
      <c r="G43" s="12">
        <v>32</v>
      </c>
      <c r="H43" s="8">
        <v>2.57</v>
      </c>
      <c r="I43" s="12">
        <v>0</v>
      </c>
    </row>
    <row r="44" spans="2:9" ht="15" customHeight="1" x14ac:dyDescent="0.2">
      <c r="B44" t="s">
        <v>108</v>
      </c>
      <c r="C44" s="12">
        <v>40</v>
      </c>
      <c r="D44" s="8">
        <v>1.4</v>
      </c>
      <c r="E44" s="12">
        <v>11</v>
      </c>
      <c r="F44" s="8">
        <v>0.69</v>
      </c>
      <c r="G44" s="12">
        <v>29</v>
      </c>
      <c r="H44" s="8">
        <v>2.33</v>
      </c>
      <c r="I44" s="12">
        <v>0</v>
      </c>
    </row>
    <row r="47" spans="2:9" ht="33" customHeight="1" x14ac:dyDescent="0.2">
      <c r="B47" t="s">
        <v>287</v>
      </c>
      <c r="C47" s="10" t="s">
        <v>91</v>
      </c>
      <c r="D47" s="10" t="s">
        <v>92</v>
      </c>
      <c r="E47" s="10" t="s">
        <v>93</v>
      </c>
      <c r="F47" s="10" t="s">
        <v>94</v>
      </c>
      <c r="G47" s="10" t="s">
        <v>95</v>
      </c>
      <c r="H47" s="10" t="s">
        <v>96</v>
      </c>
      <c r="I47" s="10" t="s">
        <v>97</v>
      </c>
    </row>
    <row r="48" spans="2:9" ht="15" customHeight="1" x14ac:dyDescent="0.2">
      <c r="B48" t="s">
        <v>170</v>
      </c>
      <c r="C48" s="12">
        <v>179</v>
      </c>
      <c r="D48" s="8">
        <v>6.26</v>
      </c>
      <c r="E48" s="12">
        <v>163</v>
      </c>
      <c r="F48" s="8">
        <v>10.23</v>
      </c>
      <c r="G48" s="12">
        <v>16</v>
      </c>
      <c r="H48" s="8">
        <v>1.28</v>
      </c>
      <c r="I48" s="12">
        <v>0</v>
      </c>
    </row>
    <row r="49" spans="2:9" ht="15" customHeight="1" x14ac:dyDescent="0.2">
      <c r="B49" t="s">
        <v>169</v>
      </c>
      <c r="C49" s="12">
        <v>115</v>
      </c>
      <c r="D49" s="8">
        <v>4.0199999999999996</v>
      </c>
      <c r="E49" s="12">
        <v>110</v>
      </c>
      <c r="F49" s="8">
        <v>6.91</v>
      </c>
      <c r="G49" s="12">
        <v>5</v>
      </c>
      <c r="H49" s="8">
        <v>0.4</v>
      </c>
      <c r="I49" s="12">
        <v>0</v>
      </c>
    </row>
    <row r="50" spans="2:9" ht="15" customHeight="1" x14ac:dyDescent="0.2">
      <c r="B50" t="s">
        <v>154</v>
      </c>
      <c r="C50" s="12">
        <v>98</v>
      </c>
      <c r="D50" s="8">
        <v>3.43</v>
      </c>
      <c r="E50" s="12">
        <v>14</v>
      </c>
      <c r="F50" s="8">
        <v>0.88</v>
      </c>
      <c r="G50" s="12">
        <v>84</v>
      </c>
      <c r="H50" s="8">
        <v>6.74</v>
      </c>
      <c r="I50" s="12">
        <v>0</v>
      </c>
    </row>
    <row r="51" spans="2:9" ht="15" customHeight="1" x14ac:dyDescent="0.2">
      <c r="B51" t="s">
        <v>167</v>
      </c>
      <c r="C51" s="12">
        <v>89</v>
      </c>
      <c r="D51" s="8">
        <v>3.11</v>
      </c>
      <c r="E51" s="12">
        <v>87</v>
      </c>
      <c r="F51" s="8">
        <v>5.46</v>
      </c>
      <c r="G51" s="12">
        <v>2</v>
      </c>
      <c r="H51" s="8">
        <v>0.16</v>
      </c>
      <c r="I51" s="12">
        <v>0</v>
      </c>
    </row>
    <row r="52" spans="2:9" ht="15" customHeight="1" x14ac:dyDescent="0.2">
      <c r="B52" t="s">
        <v>159</v>
      </c>
      <c r="C52" s="12">
        <v>76</v>
      </c>
      <c r="D52" s="8">
        <v>2.66</v>
      </c>
      <c r="E52" s="12">
        <v>53</v>
      </c>
      <c r="F52" s="8">
        <v>3.33</v>
      </c>
      <c r="G52" s="12">
        <v>23</v>
      </c>
      <c r="H52" s="8">
        <v>1.84</v>
      </c>
      <c r="I52" s="12">
        <v>0</v>
      </c>
    </row>
    <row r="53" spans="2:9" ht="15" customHeight="1" x14ac:dyDescent="0.2">
      <c r="B53" t="s">
        <v>172</v>
      </c>
      <c r="C53" s="12">
        <v>76</v>
      </c>
      <c r="D53" s="8">
        <v>2.66</v>
      </c>
      <c r="E53" s="12">
        <v>67</v>
      </c>
      <c r="F53" s="8">
        <v>4.21</v>
      </c>
      <c r="G53" s="12">
        <v>9</v>
      </c>
      <c r="H53" s="8">
        <v>0.72</v>
      </c>
      <c r="I53" s="12">
        <v>0</v>
      </c>
    </row>
    <row r="54" spans="2:9" ht="15" customHeight="1" x14ac:dyDescent="0.2">
      <c r="B54" t="s">
        <v>166</v>
      </c>
      <c r="C54" s="12">
        <v>73</v>
      </c>
      <c r="D54" s="8">
        <v>2.5499999999999998</v>
      </c>
      <c r="E54" s="12">
        <v>64</v>
      </c>
      <c r="F54" s="8">
        <v>4.0199999999999996</v>
      </c>
      <c r="G54" s="12">
        <v>9</v>
      </c>
      <c r="H54" s="8">
        <v>0.72</v>
      </c>
      <c r="I54" s="12">
        <v>0</v>
      </c>
    </row>
    <row r="55" spans="2:9" ht="15" customHeight="1" x14ac:dyDescent="0.2">
      <c r="B55" t="s">
        <v>158</v>
      </c>
      <c r="C55" s="12">
        <v>66</v>
      </c>
      <c r="D55" s="8">
        <v>2.31</v>
      </c>
      <c r="E55" s="12">
        <v>48</v>
      </c>
      <c r="F55" s="8">
        <v>3.01</v>
      </c>
      <c r="G55" s="12">
        <v>18</v>
      </c>
      <c r="H55" s="8">
        <v>1.44</v>
      </c>
      <c r="I55" s="12">
        <v>0</v>
      </c>
    </row>
    <row r="56" spans="2:9" ht="15" customHeight="1" x14ac:dyDescent="0.2">
      <c r="B56" t="s">
        <v>164</v>
      </c>
      <c r="C56" s="12">
        <v>65</v>
      </c>
      <c r="D56" s="8">
        <v>2.27</v>
      </c>
      <c r="E56" s="12">
        <v>19</v>
      </c>
      <c r="F56" s="8">
        <v>1.19</v>
      </c>
      <c r="G56" s="12">
        <v>46</v>
      </c>
      <c r="H56" s="8">
        <v>3.69</v>
      </c>
      <c r="I56" s="12">
        <v>0</v>
      </c>
    </row>
    <row r="57" spans="2:9" ht="15" customHeight="1" x14ac:dyDescent="0.2">
      <c r="B57" t="s">
        <v>160</v>
      </c>
      <c r="C57" s="12">
        <v>63</v>
      </c>
      <c r="D57" s="8">
        <v>2.2000000000000002</v>
      </c>
      <c r="E57" s="12">
        <v>18</v>
      </c>
      <c r="F57" s="8">
        <v>1.1299999999999999</v>
      </c>
      <c r="G57" s="12">
        <v>45</v>
      </c>
      <c r="H57" s="8">
        <v>3.61</v>
      </c>
      <c r="I57" s="12">
        <v>0</v>
      </c>
    </row>
    <row r="58" spans="2:9" ht="15" customHeight="1" x14ac:dyDescent="0.2">
      <c r="B58" t="s">
        <v>161</v>
      </c>
      <c r="C58" s="12">
        <v>63</v>
      </c>
      <c r="D58" s="8">
        <v>2.2000000000000002</v>
      </c>
      <c r="E58" s="12">
        <v>48</v>
      </c>
      <c r="F58" s="8">
        <v>3.01</v>
      </c>
      <c r="G58" s="12">
        <v>15</v>
      </c>
      <c r="H58" s="8">
        <v>1.2</v>
      </c>
      <c r="I58" s="12">
        <v>0</v>
      </c>
    </row>
    <row r="59" spans="2:9" ht="15" customHeight="1" x14ac:dyDescent="0.2">
      <c r="B59" t="s">
        <v>168</v>
      </c>
      <c r="C59" s="12">
        <v>62</v>
      </c>
      <c r="D59" s="8">
        <v>2.17</v>
      </c>
      <c r="E59" s="12">
        <v>60</v>
      </c>
      <c r="F59" s="8">
        <v>3.77</v>
      </c>
      <c r="G59" s="12">
        <v>2</v>
      </c>
      <c r="H59" s="8">
        <v>0.16</v>
      </c>
      <c r="I59" s="12">
        <v>0</v>
      </c>
    </row>
    <row r="60" spans="2:9" ht="15" customHeight="1" x14ac:dyDescent="0.2">
      <c r="B60" t="s">
        <v>173</v>
      </c>
      <c r="C60" s="12">
        <v>61</v>
      </c>
      <c r="D60" s="8">
        <v>2.13</v>
      </c>
      <c r="E60" s="12">
        <v>50</v>
      </c>
      <c r="F60" s="8">
        <v>3.14</v>
      </c>
      <c r="G60" s="12">
        <v>11</v>
      </c>
      <c r="H60" s="8">
        <v>0.88</v>
      </c>
      <c r="I60" s="12">
        <v>0</v>
      </c>
    </row>
    <row r="61" spans="2:9" ht="15" customHeight="1" x14ac:dyDescent="0.2">
      <c r="B61" t="s">
        <v>157</v>
      </c>
      <c r="C61" s="12">
        <v>58</v>
      </c>
      <c r="D61" s="8">
        <v>2.0299999999999998</v>
      </c>
      <c r="E61" s="12">
        <v>35</v>
      </c>
      <c r="F61" s="8">
        <v>2.2000000000000002</v>
      </c>
      <c r="G61" s="12">
        <v>23</v>
      </c>
      <c r="H61" s="8">
        <v>1.84</v>
      </c>
      <c r="I61" s="12">
        <v>0</v>
      </c>
    </row>
    <row r="62" spans="2:9" ht="15" customHeight="1" x14ac:dyDescent="0.2">
      <c r="B62" t="s">
        <v>155</v>
      </c>
      <c r="C62" s="12">
        <v>51</v>
      </c>
      <c r="D62" s="8">
        <v>1.78</v>
      </c>
      <c r="E62" s="12">
        <v>10</v>
      </c>
      <c r="F62" s="8">
        <v>0.63</v>
      </c>
      <c r="G62" s="12">
        <v>41</v>
      </c>
      <c r="H62" s="8">
        <v>3.29</v>
      </c>
      <c r="I62" s="12">
        <v>0</v>
      </c>
    </row>
    <row r="63" spans="2:9" ht="15" customHeight="1" x14ac:dyDescent="0.2">
      <c r="B63" t="s">
        <v>208</v>
      </c>
      <c r="C63" s="12">
        <v>39</v>
      </c>
      <c r="D63" s="8">
        <v>1.36</v>
      </c>
      <c r="E63" s="12">
        <v>28</v>
      </c>
      <c r="F63" s="8">
        <v>1.76</v>
      </c>
      <c r="G63" s="12">
        <v>11</v>
      </c>
      <c r="H63" s="8">
        <v>0.88</v>
      </c>
      <c r="I63" s="12">
        <v>0</v>
      </c>
    </row>
    <row r="64" spans="2:9" ht="15" customHeight="1" x14ac:dyDescent="0.2">
      <c r="B64" t="s">
        <v>163</v>
      </c>
      <c r="C64" s="12">
        <v>39</v>
      </c>
      <c r="D64" s="8">
        <v>1.36</v>
      </c>
      <c r="E64" s="12">
        <v>2</v>
      </c>
      <c r="F64" s="8">
        <v>0.13</v>
      </c>
      <c r="G64" s="12">
        <v>37</v>
      </c>
      <c r="H64" s="8">
        <v>2.97</v>
      </c>
      <c r="I64" s="12">
        <v>0</v>
      </c>
    </row>
    <row r="65" spans="2:9" ht="15" customHeight="1" x14ac:dyDescent="0.2">
      <c r="B65" t="s">
        <v>156</v>
      </c>
      <c r="C65" s="12">
        <v>37</v>
      </c>
      <c r="D65" s="8">
        <v>1.29</v>
      </c>
      <c r="E65" s="12">
        <v>11</v>
      </c>
      <c r="F65" s="8">
        <v>0.69</v>
      </c>
      <c r="G65" s="12">
        <v>26</v>
      </c>
      <c r="H65" s="8">
        <v>2.09</v>
      </c>
      <c r="I65" s="12">
        <v>0</v>
      </c>
    </row>
    <row r="66" spans="2:9" ht="15" customHeight="1" x14ac:dyDescent="0.2">
      <c r="B66" t="s">
        <v>171</v>
      </c>
      <c r="C66" s="12">
        <v>34</v>
      </c>
      <c r="D66" s="8">
        <v>1.19</v>
      </c>
      <c r="E66" s="12">
        <v>25</v>
      </c>
      <c r="F66" s="8">
        <v>1.57</v>
      </c>
      <c r="G66" s="12">
        <v>9</v>
      </c>
      <c r="H66" s="8">
        <v>0.72</v>
      </c>
      <c r="I66" s="12">
        <v>0</v>
      </c>
    </row>
    <row r="67" spans="2:9" ht="15" customHeight="1" x14ac:dyDescent="0.2">
      <c r="B67" t="s">
        <v>177</v>
      </c>
      <c r="C67" s="12">
        <v>33</v>
      </c>
      <c r="D67" s="8">
        <v>1.1499999999999999</v>
      </c>
      <c r="E67" s="12">
        <v>23</v>
      </c>
      <c r="F67" s="8">
        <v>1.44</v>
      </c>
      <c r="G67" s="12">
        <v>10</v>
      </c>
      <c r="H67" s="8">
        <v>0.8</v>
      </c>
      <c r="I67" s="12">
        <v>0</v>
      </c>
    </row>
    <row r="69" spans="2:9" ht="15" customHeight="1" x14ac:dyDescent="0.2">
      <c r="B69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CFAFB-863E-4124-A432-CDA5E533D22E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309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131</v>
      </c>
      <c r="D6" s="8">
        <v>10.47</v>
      </c>
      <c r="E6" s="12">
        <v>39</v>
      </c>
      <c r="F6" s="8">
        <v>4.9000000000000004</v>
      </c>
      <c r="G6" s="12">
        <v>92</v>
      </c>
      <c r="H6" s="8">
        <v>20.72</v>
      </c>
      <c r="I6" s="12">
        <v>0</v>
      </c>
    </row>
    <row r="7" spans="2:9" ht="15" customHeight="1" x14ac:dyDescent="0.2">
      <c r="B7" t="s">
        <v>77</v>
      </c>
      <c r="C7" s="12">
        <v>63</v>
      </c>
      <c r="D7" s="8">
        <v>5.04</v>
      </c>
      <c r="E7" s="12">
        <v>30</v>
      </c>
      <c r="F7" s="8">
        <v>3.77</v>
      </c>
      <c r="G7" s="12">
        <v>33</v>
      </c>
      <c r="H7" s="8">
        <v>7.43</v>
      </c>
      <c r="I7" s="12">
        <v>0</v>
      </c>
    </row>
    <row r="8" spans="2:9" ht="15" customHeight="1" x14ac:dyDescent="0.2">
      <c r="B8" t="s">
        <v>78</v>
      </c>
      <c r="C8" s="12">
        <v>8</v>
      </c>
      <c r="D8" s="8">
        <v>0.64</v>
      </c>
      <c r="E8" s="12">
        <v>0</v>
      </c>
      <c r="F8" s="8">
        <v>0</v>
      </c>
      <c r="G8" s="12">
        <v>7</v>
      </c>
      <c r="H8" s="8">
        <v>1.58</v>
      </c>
      <c r="I8" s="12">
        <v>0</v>
      </c>
    </row>
    <row r="9" spans="2:9" ht="15" customHeight="1" x14ac:dyDescent="0.2">
      <c r="B9" t="s">
        <v>79</v>
      </c>
      <c r="C9" s="12">
        <v>7</v>
      </c>
      <c r="D9" s="8">
        <v>0.56000000000000005</v>
      </c>
      <c r="E9" s="12">
        <v>0</v>
      </c>
      <c r="F9" s="8">
        <v>0</v>
      </c>
      <c r="G9" s="12">
        <v>7</v>
      </c>
      <c r="H9" s="8">
        <v>1.58</v>
      </c>
      <c r="I9" s="12">
        <v>0</v>
      </c>
    </row>
    <row r="10" spans="2:9" ht="15" customHeight="1" x14ac:dyDescent="0.2">
      <c r="B10" t="s">
        <v>80</v>
      </c>
      <c r="C10" s="12">
        <v>7</v>
      </c>
      <c r="D10" s="8">
        <v>0.56000000000000005</v>
      </c>
      <c r="E10" s="12">
        <v>2</v>
      </c>
      <c r="F10" s="8">
        <v>0.25</v>
      </c>
      <c r="G10" s="12">
        <v>5</v>
      </c>
      <c r="H10" s="8">
        <v>1.1299999999999999</v>
      </c>
      <c r="I10" s="12">
        <v>0</v>
      </c>
    </row>
    <row r="11" spans="2:9" ht="15" customHeight="1" x14ac:dyDescent="0.2">
      <c r="B11" t="s">
        <v>81</v>
      </c>
      <c r="C11" s="12">
        <v>345</v>
      </c>
      <c r="D11" s="8">
        <v>27.58</v>
      </c>
      <c r="E11" s="12">
        <v>222</v>
      </c>
      <c r="F11" s="8">
        <v>27.89</v>
      </c>
      <c r="G11" s="12">
        <v>123</v>
      </c>
      <c r="H11" s="8">
        <v>27.7</v>
      </c>
      <c r="I11" s="12">
        <v>0</v>
      </c>
    </row>
    <row r="12" spans="2:9" ht="15" customHeight="1" x14ac:dyDescent="0.2">
      <c r="B12" t="s">
        <v>82</v>
      </c>
      <c r="C12" s="12">
        <v>9</v>
      </c>
      <c r="D12" s="8">
        <v>0.72</v>
      </c>
      <c r="E12" s="12">
        <v>3</v>
      </c>
      <c r="F12" s="8">
        <v>0.38</v>
      </c>
      <c r="G12" s="12">
        <v>6</v>
      </c>
      <c r="H12" s="8">
        <v>1.35</v>
      </c>
      <c r="I12" s="12">
        <v>0</v>
      </c>
    </row>
    <row r="13" spans="2:9" ht="15" customHeight="1" x14ac:dyDescent="0.2">
      <c r="B13" t="s">
        <v>83</v>
      </c>
      <c r="C13" s="12">
        <v>61</v>
      </c>
      <c r="D13" s="8">
        <v>4.88</v>
      </c>
      <c r="E13" s="12">
        <v>19</v>
      </c>
      <c r="F13" s="8">
        <v>2.39</v>
      </c>
      <c r="G13" s="12">
        <v>42</v>
      </c>
      <c r="H13" s="8">
        <v>9.4600000000000009</v>
      </c>
      <c r="I13" s="12">
        <v>0</v>
      </c>
    </row>
    <row r="14" spans="2:9" ht="15" customHeight="1" x14ac:dyDescent="0.2">
      <c r="B14" t="s">
        <v>84</v>
      </c>
      <c r="C14" s="12">
        <v>55</v>
      </c>
      <c r="D14" s="8">
        <v>4.4000000000000004</v>
      </c>
      <c r="E14" s="12">
        <v>32</v>
      </c>
      <c r="F14" s="8">
        <v>4.0199999999999996</v>
      </c>
      <c r="G14" s="12">
        <v>22</v>
      </c>
      <c r="H14" s="8">
        <v>4.95</v>
      </c>
      <c r="I14" s="12">
        <v>0</v>
      </c>
    </row>
    <row r="15" spans="2:9" ht="15" customHeight="1" x14ac:dyDescent="0.2">
      <c r="B15" t="s">
        <v>85</v>
      </c>
      <c r="C15" s="12">
        <v>188</v>
      </c>
      <c r="D15" s="8">
        <v>15.03</v>
      </c>
      <c r="E15" s="12">
        <v>174</v>
      </c>
      <c r="F15" s="8">
        <v>21.86</v>
      </c>
      <c r="G15" s="12">
        <v>14</v>
      </c>
      <c r="H15" s="8">
        <v>3.15</v>
      </c>
      <c r="I15" s="12">
        <v>0</v>
      </c>
    </row>
    <row r="16" spans="2:9" ht="15" customHeight="1" x14ac:dyDescent="0.2">
      <c r="B16" t="s">
        <v>86</v>
      </c>
      <c r="C16" s="12">
        <v>205</v>
      </c>
      <c r="D16" s="8">
        <v>16.39</v>
      </c>
      <c r="E16" s="12">
        <v>180</v>
      </c>
      <c r="F16" s="8">
        <v>22.61</v>
      </c>
      <c r="G16" s="12">
        <v>24</v>
      </c>
      <c r="H16" s="8">
        <v>5.41</v>
      </c>
      <c r="I16" s="12">
        <v>1</v>
      </c>
    </row>
    <row r="17" spans="2:9" ht="15" customHeight="1" x14ac:dyDescent="0.2">
      <c r="B17" t="s">
        <v>87</v>
      </c>
      <c r="C17" s="12">
        <v>35</v>
      </c>
      <c r="D17" s="8">
        <v>2.8</v>
      </c>
      <c r="E17" s="12">
        <v>28</v>
      </c>
      <c r="F17" s="8">
        <v>3.52</v>
      </c>
      <c r="G17" s="12">
        <v>7</v>
      </c>
      <c r="H17" s="8">
        <v>1.58</v>
      </c>
      <c r="I17" s="12">
        <v>0</v>
      </c>
    </row>
    <row r="18" spans="2:9" ht="15" customHeight="1" x14ac:dyDescent="0.2">
      <c r="B18" t="s">
        <v>88</v>
      </c>
      <c r="C18" s="12">
        <v>80</v>
      </c>
      <c r="D18" s="8">
        <v>6.39</v>
      </c>
      <c r="E18" s="12">
        <v>35</v>
      </c>
      <c r="F18" s="8">
        <v>4.4000000000000004</v>
      </c>
      <c r="G18" s="12">
        <v>38</v>
      </c>
      <c r="H18" s="8">
        <v>8.56</v>
      </c>
      <c r="I18" s="12">
        <v>1</v>
      </c>
    </row>
    <row r="19" spans="2:9" ht="15" customHeight="1" x14ac:dyDescent="0.2">
      <c r="B19" t="s">
        <v>89</v>
      </c>
      <c r="C19" s="12">
        <v>57</v>
      </c>
      <c r="D19" s="8">
        <v>4.5599999999999996</v>
      </c>
      <c r="E19" s="12">
        <v>32</v>
      </c>
      <c r="F19" s="8">
        <v>4.0199999999999996</v>
      </c>
      <c r="G19" s="12">
        <v>24</v>
      </c>
      <c r="H19" s="8">
        <v>5.41</v>
      </c>
      <c r="I19" s="12">
        <v>1</v>
      </c>
    </row>
    <row r="20" spans="2:9" ht="15" customHeight="1" x14ac:dyDescent="0.2">
      <c r="B20" s="9" t="s">
        <v>285</v>
      </c>
      <c r="C20" s="12">
        <f>SUM(LTBL_40206[総数／事業所数])</f>
        <v>1251</v>
      </c>
      <c r="E20" s="12">
        <f>SUBTOTAL(109,LTBL_40206[個人／事業所数])</f>
        <v>796</v>
      </c>
      <c r="G20" s="12">
        <f>SUBTOTAL(109,LTBL_40206[法人／事業所数])</f>
        <v>444</v>
      </c>
      <c r="I20" s="12">
        <f>SUBTOTAL(109,LTBL_40206[法人以外の団体／事業所数])</f>
        <v>3</v>
      </c>
    </row>
    <row r="21" spans="2:9" ht="15" customHeight="1" x14ac:dyDescent="0.2">
      <c r="E21" s="11">
        <f>LTBL_40206[[#Totals],[個人／事業所数]]/LTBL_40206[[#Totals],[総数／事業所数]]</f>
        <v>0.63629096722621903</v>
      </c>
      <c r="G21" s="11">
        <f>LTBL_40206[[#Totals],[法人／事業所数]]/LTBL_40206[[#Totals],[総数／事業所数]]</f>
        <v>0.35491606714628299</v>
      </c>
      <c r="I21" s="11">
        <f>LTBL_40206[[#Totals],[法人以外の団体／事業所数]]/LTBL_40206[[#Totals],[総数／事業所数]]</f>
        <v>2.3980815347721821E-3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175</v>
      </c>
      <c r="D24" s="8">
        <v>13.99</v>
      </c>
      <c r="E24" s="12">
        <v>161</v>
      </c>
      <c r="F24" s="8">
        <v>20.23</v>
      </c>
      <c r="G24" s="12">
        <v>14</v>
      </c>
      <c r="H24" s="8">
        <v>3.15</v>
      </c>
      <c r="I24" s="12">
        <v>0</v>
      </c>
    </row>
    <row r="25" spans="2:9" ht="15" customHeight="1" x14ac:dyDescent="0.2">
      <c r="B25" t="s">
        <v>112</v>
      </c>
      <c r="C25" s="12">
        <v>169</v>
      </c>
      <c r="D25" s="8">
        <v>13.51</v>
      </c>
      <c r="E25" s="12">
        <v>164</v>
      </c>
      <c r="F25" s="8">
        <v>20.6</v>
      </c>
      <c r="G25" s="12">
        <v>5</v>
      </c>
      <c r="H25" s="8">
        <v>1.1299999999999999</v>
      </c>
      <c r="I25" s="12">
        <v>0</v>
      </c>
    </row>
    <row r="26" spans="2:9" ht="15" customHeight="1" x14ac:dyDescent="0.2">
      <c r="B26" t="s">
        <v>107</v>
      </c>
      <c r="C26" s="12">
        <v>119</v>
      </c>
      <c r="D26" s="8">
        <v>9.51</v>
      </c>
      <c r="E26" s="12">
        <v>72</v>
      </c>
      <c r="F26" s="8">
        <v>9.0500000000000007</v>
      </c>
      <c r="G26" s="12">
        <v>47</v>
      </c>
      <c r="H26" s="8">
        <v>10.59</v>
      </c>
      <c r="I26" s="12">
        <v>0</v>
      </c>
    </row>
    <row r="27" spans="2:9" ht="15" customHeight="1" x14ac:dyDescent="0.2">
      <c r="B27" t="s">
        <v>105</v>
      </c>
      <c r="C27" s="12">
        <v>100</v>
      </c>
      <c r="D27" s="8">
        <v>7.99</v>
      </c>
      <c r="E27" s="12">
        <v>73</v>
      </c>
      <c r="F27" s="8">
        <v>9.17</v>
      </c>
      <c r="G27" s="12">
        <v>27</v>
      </c>
      <c r="H27" s="8">
        <v>6.08</v>
      </c>
      <c r="I27" s="12">
        <v>0</v>
      </c>
    </row>
    <row r="28" spans="2:9" ht="15" customHeight="1" x14ac:dyDescent="0.2">
      <c r="B28" t="s">
        <v>98</v>
      </c>
      <c r="C28" s="12">
        <v>72</v>
      </c>
      <c r="D28" s="8">
        <v>5.76</v>
      </c>
      <c r="E28" s="12">
        <v>18</v>
      </c>
      <c r="F28" s="8">
        <v>2.2599999999999998</v>
      </c>
      <c r="G28" s="12">
        <v>54</v>
      </c>
      <c r="H28" s="8">
        <v>12.16</v>
      </c>
      <c r="I28" s="12">
        <v>0</v>
      </c>
    </row>
    <row r="29" spans="2:9" ht="15" customHeight="1" x14ac:dyDescent="0.2">
      <c r="B29" t="s">
        <v>106</v>
      </c>
      <c r="C29" s="12">
        <v>45</v>
      </c>
      <c r="D29" s="8">
        <v>3.6</v>
      </c>
      <c r="E29" s="12">
        <v>31</v>
      </c>
      <c r="F29" s="8">
        <v>3.89</v>
      </c>
      <c r="G29" s="12">
        <v>14</v>
      </c>
      <c r="H29" s="8">
        <v>3.15</v>
      </c>
      <c r="I29" s="12">
        <v>0</v>
      </c>
    </row>
    <row r="30" spans="2:9" ht="15" customHeight="1" x14ac:dyDescent="0.2">
      <c r="B30" t="s">
        <v>115</v>
      </c>
      <c r="C30" s="12">
        <v>44</v>
      </c>
      <c r="D30" s="8">
        <v>3.52</v>
      </c>
      <c r="E30" s="12">
        <v>35</v>
      </c>
      <c r="F30" s="8">
        <v>4.4000000000000004</v>
      </c>
      <c r="G30" s="12">
        <v>9</v>
      </c>
      <c r="H30" s="8">
        <v>2.0299999999999998</v>
      </c>
      <c r="I30" s="12">
        <v>0</v>
      </c>
    </row>
    <row r="31" spans="2:9" ht="15" customHeight="1" x14ac:dyDescent="0.2">
      <c r="B31" t="s">
        <v>109</v>
      </c>
      <c r="C31" s="12">
        <v>43</v>
      </c>
      <c r="D31" s="8">
        <v>3.44</v>
      </c>
      <c r="E31" s="12">
        <v>14</v>
      </c>
      <c r="F31" s="8">
        <v>1.76</v>
      </c>
      <c r="G31" s="12">
        <v>29</v>
      </c>
      <c r="H31" s="8">
        <v>6.53</v>
      </c>
      <c r="I31" s="12">
        <v>0</v>
      </c>
    </row>
    <row r="32" spans="2:9" ht="15" customHeight="1" x14ac:dyDescent="0.2">
      <c r="B32" t="s">
        <v>104</v>
      </c>
      <c r="C32" s="12">
        <v>37</v>
      </c>
      <c r="D32" s="8">
        <v>2.96</v>
      </c>
      <c r="E32" s="12">
        <v>26</v>
      </c>
      <c r="F32" s="8">
        <v>3.27</v>
      </c>
      <c r="G32" s="12">
        <v>11</v>
      </c>
      <c r="H32" s="8">
        <v>2.48</v>
      </c>
      <c r="I32" s="12">
        <v>0</v>
      </c>
    </row>
    <row r="33" spans="2:9" ht="15" customHeight="1" x14ac:dyDescent="0.2">
      <c r="B33" t="s">
        <v>116</v>
      </c>
      <c r="C33" s="12">
        <v>36</v>
      </c>
      <c r="D33" s="8">
        <v>2.88</v>
      </c>
      <c r="E33" s="12">
        <v>0</v>
      </c>
      <c r="F33" s="8">
        <v>0</v>
      </c>
      <c r="G33" s="12">
        <v>29</v>
      </c>
      <c r="H33" s="8">
        <v>6.53</v>
      </c>
      <c r="I33" s="12">
        <v>1</v>
      </c>
    </row>
    <row r="34" spans="2:9" ht="15" customHeight="1" x14ac:dyDescent="0.2">
      <c r="B34" t="s">
        <v>114</v>
      </c>
      <c r="C34" s="12">
        <v>35</v>
      </c>
      <c r="D34" s="8">
        <v>2.8</v>
      </c>
      <c r="E34" s="12">
        <v>28</v>
      </c>
      <c r="F34" s="8">
        <v>3.52</v>
      </c>
      <c r="G34" s="12">
        <v>7</v>
      </c>
      <c r="H34" s="8">
        <v>1.58</v>
      </c>
      <c r="I34" s="12">
        <v>0</v>
      </c>
    </row>
    <row r="35" spans="2:9" ht="15" customHeight="1" x14ac:dyDescent="0.2">
      <c r="B35" t="s">
        <v>99</v>
      </c>
      <c r="C35" s="12">
        <v>34</v>
      </c>
      <c r="D35" s="8">
        <v>2.72</v>
      </c>
      <c r="E35" s="12">
        <v>13</v>
      </c>
      <c r="F35" s="8">
        <v>1.63</v>
      </c>
      <c r="G35" s="12">
        <v>21</v>
      </c>
      <c r="H35" s="8">
        <v>4.7300000000000004</v>
      </c>
      <c r="I35" s="12">
        <v>0</v>
      </c>
    </row>
    <row r="36" spans="2:9" ht="15" customHeight="1" x14ac:dyDescent="0.2">
      <c r="B36" t="s">
        <v>123</v>
      </c>
      <c r="C36" s="12">
        <v>31</v>
      </c>
      <c r="D36" s="8">
        <v>2.48</v>
      </c>
      <c r="E36" s="12">
        <v>25</v>
      </c>
      <c r="F36" s="8">
        <v>3.14</v>
      </c>
      <c r="G36" s="12">
        <v>6</v>
      </c>
      <c r="H36" s="8">
        <v>1.35</v>
      </c>
      <c r="I36" s="12">
        <v>0</v>
      </c>
    </row>
    <row r="37" spans="2:9" ht="15" customHeight="1" x14ac:dyDescent="0.2">
      <c r="B37" t="s">
        <v>110</v>
      </c>
      <c r="C37" s="12">
        <v>30</v>
      </c>
      <c r="D37" s="8">
        <v>2.4</v>
      </c>
      <c r="E37" s="12">
        <v>20</v>
      </c>
      <c r="F37" s="8">
        <v>2.5099999999999998</v>
      </c>
      <c r="G37" s="12">
        <v>10</v>
      </c>
      <c r="H37" s="8">
        <v>2.25</v>
      </c>
      <c r="I37" s="12">
        <v>0</v>
      </c>
    </row>
    <row r="38" spans="2:9" ht="15" customHeight="1" x14ac:dyDescent="0.2">
      <c r="B38" t="s">
        <v>100</v>
      </c>
      <c r="C38" s="12">
        <v>25</v>
      </c>
      <c r="D38" s="8">
        <v>2</v>
      </c>
      <c r="E38" s="12">
        <v>8</v>
      </c>
      <c r="F38" s="8">
        <v>1.01</v>
      </c>
      <c r="G38" s="12">
        <v>17</v>
      </c>
      <c r="H38" s="8">
        <v>3.83</v>
      </c>
      <c r="I38" s="12">
        <v>0</v>
      </c>
    </row>
    <row r="39" spans="2:9" ht="15" customHeight="1" x14ac:dyDescent="0.2">
      <c r="B39" t="s">
        <v>111</v>
      </c>
      <c r="C39" s="12">
        <v>25</v>
      </c>
      <c r="D39" s="8">
        <v>2</v>
      </c>
      <c r="E39" s="12">
        <v>12</v>
      </c>
      <c r="F39" s="8">
        <v>1.51</v>
      </c>
      <c r="G39" s="12">
        <v>12</v>
      </c>
      <c r="H39" s="8">
        <v>2.7</v>
      </c>
      <c r="I39" s="12">
        <v>0</v>
      </c>
    </row>
    <row r="40" spans="2:9" ht="15" customHeight="1" x14ac:dyDescent="0.2">
      <c r="B40" t="s">
        <v>118</v>
      </c>
      <c r="C40" s="12">
        <v>20</v>
      </c>
      <c r="D40" s="8">
        <v>1.6</v>
      </c>
      <c r="E40" s="12">
        <v>10</v>
      </c>
      <c r="F40" s="8">
        <v>1.26</v>
      </c>
      <c r="G40" s="12">
        <v>10</v>
      </c>
      <c r="H40" s="8">
        <v>2.25</v>
      </c>
      <c r="I40" s="12">
        <v>0</v>
      </c>
    </row>
    <row r="41" spans="2:9" ht="15" customHeight="1" x14ac:dyDescent="0.2">
      <c r="B41" t="s">
        <v>121</v>
      </c>
      <c r="C41" s="12">
        <v>16</v>
      </c>
      <c r="D41" s="8">
        <v>1.28</v>
      </c>
      <c r="E41" s="12">
        <v>10</v>
      </c>
      <c r="F41" s="8">
        <v>1.26</v>
      </c>
      <c r="G41" s="12">
        <v>6</v>
      </c>
      <c r="H41" s="8">
        <v>1.35</v>
      </c>
      <c r="I41" s="12">
        <v>0</v>
      </c>
    </row>
    <row r="42" spans="2:9" ht="15" customHeight="1" x14ac:dyDescent="0.2">
      <c r="B42" t="s">
        <v>103</v>
      </c>
      <c r="C42" s="12">
        <v>14</v>
      </c>
      <c r="D42" s="8">
        <v>1.1200000000000001</v>
      </c>
      <c r="E42" s="12">
        <v>6</v>
      </c>
      <c r="F42" s="8">
        <v>0.75</v>
      </c>
      <c r="G42" s="12">
        <v>8</v>
      </c>
      <c r="H42" s="8">
        <v>1.8</v>
      </c>
      <c r="I42" s="12">
        <v>0</v>
      </c>
    </row>
    <row r="43" spans="2:9" ht="15" customHeight="1" x14ac:dyDescent="0.2">
      <c r="B43" t="s">
        <v>117</v>
      </c>
      <c r="C43" s="12">
        <v>13</v>
      </c>
      <c r="D43" s="8">
        <v>1.04</v>
      </c>
      <c r="E43" s="12">
        <v>3</v>
      </c>
      <c r="F43" s="8">
        <v>0.38</v>
      </c>
      <c r="G43" s="12">
        <v>9</v>
      </c>
      <c r="H43" s="8">
        <v>2.0299999999999998</v>
      </c>
      <c r="I43" s="12">
        <v>1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170</v>
      </c>
      <c r="C47" s="12">
        <v>99</v>
      </c>
      <c r="D47" s="8">
        <v>7.91</v>
      </c>
      <c r="E47" s="12">
        <v>94</v>
      </c>
      <c r="F47" s="8">
        <v>11.81</v>
      </c>
      <c r="G47" s="12">
        <v>5</v>
      </c>
      <c r="H47" s="8">
        <v>1.1299999999999999</v>
      </c>
      <c r="I47" s="12">
        <v>0</v>
      </c>
    </row>
    <row r="48" spans="2:9" ht="15" customHeight="1" x14ac:dyDescent="0.2">
      <c r="B48" t="s">
        <v>168</v>
      </c>
      <c r="C48" s="12">
        <v>56</v>
      </c>
      <c r="D48" s="8">
        <v>4.4800000000000004</v>
      </c>
      <c r="E48" s="12">
        <v>56</v>
      </c>
      <c r="F48" s="8">
        <v>7.04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169</v>
      </c>
      <c r="C49" s="12">
        <v>46</v>
      </c>
      <c r="D49" s="8">
        <v>3.68</v>
      </c>
      <c r="E49" s="12">
        <v>44</v>
      </c>
      <c r="F49" s="8">
        <v>5.53</v>
      </c>
      <c r="G49" s="12">
        <v>2</v>
      </c>
      <c r="H49" s="8">
        <v>0.45</v>
      </c>
      <c r="I49" s="12">
        <v>0</v>
      </c>
    </row>
    <row r="50" spans="2:9" ht="15" customHeight="1" x14ac:dyDescent="0.2">
      <c r="B50" t="s">
        <v>167</v>
      </c>
      <c r="C50" s="12">
        <v>39</v>
      </c>
      <c r="D50" s="8">
        <v>3.12</v>
      </c>
      <c r="E50" s="12">
        <v>39</v>
      </c>
      <c r="F50" s="8">
        <v>4.9000000000000004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161</v>
      </c>
      <c r="C51" s="12">
        <v>38</v>
      </c>
      <c r="D51" s="8">
        <v>3.04</v>
      </c>
      <c r="E51" s="12">
        <v>30</v>
      </c>
      <c r="F51" s="8">
        <v>3.77</v>
      </c>
      <c r="G51" s="12">
        <v>8</v>
      </c>
      <c r="H51" s="8">
        <v>1.8</v>
      </c>
      <c r="I51" s="12">
        <v>0</v>
      </c>
    </row>
    <row r="52" spans="2:9" ht="15" customHeight="1" x14ac:dyDescent="0.2">
      <c r="B52" t="s">
        <v>154</v>
      </c>
      <c r="C52" s="12">
        <v>36</v>
      </c>
      <c r="D52" s="8">
        <v>2.88</v>
      </c>
      <c r="E52" s="12">
        <v>9</v>
      </c>
      <c r="F52" s="8">
        <v>1.1299999999999999</v>
      </c>
      <c r="G52" s="12">
        <v>27</v>
      </c>
      <c r="H52" s="8">
        <v>6.08</v>
      </c>
      <c r="I52" s="12">
        <v>0</v>
      </c>
    </row>
    <row r="53" spans="2:9" ht="15" customHeight="1" x14ac:dyDescent="0.2">
      <c r="B53" t="s">
        <v>158</v>
      </c>
      <c r="C53" s="12">
        <v>34</v>
      </c>
      <c r="D53" s="8">
        <v>2.72</v>
      </c>
      <c r="E53" s="12">
        <v>24</v>
      </c>
      <c r="F53" s="8">
        <v>3.02</v>
      </c>
      <c r="G53" s="12">
        <v>10</v>
      </c>
      <c r="H53" s="8">
        <v>2.25</v>
      </c>
      <c r="I53" s="12">
        <v>0</v>
      </c>
    </row>
    <row r="54" spans="2:9" ht="15" customHeight="1" x14ac:dyDescent="0.2">
      <c r="B54" t="s">
        <v>172</v>
      </c>
      <c r="C54" s="12">
        <v>32</v>
      </c>
      <c r="D54" s="8">
        <v>2.56</v>
      </c>
      <c r="E54" s="12">
        <v>26</v>
      </c>
      <c r="F54" s="8">
        <v>3.27</v>
      </c>
      <c r="G54" s="12">
        <v>6</v>
      </c>
      <c r="H54" s="8">
        <v>1.35</v>
      </c>
      <c r="I54" s="12">
        <v>0</v>
      </c>
    </row>
    <row r="55" spans="2:9" ht="15" customHeight="1" x14ac:dyDescent="0.2">
      <c r="B55" t="s">
        <v>173</v>
      </c>
      <c r="C55" s="12">
        <v>31</v>
      </c>
      <c r="D55" s="8">
        <v>2.48</v>
      </c>
      <c r="E55" s="12">
        <v>25</v>
      </c>
      <c r="F55" s="8">
        <v>3.14</v>
      </c>
      <c r="G55" s="12">
        <v>6</v>
      </c>
      <c r="H55" s="8">
        <v>1.35</v>
      </c>
      <c r="I55" s="12">
        <v>0</v>
      </c>
    </row>
    <row r="56" spans="2:9" ht="15" customHeight="1" x14ac:dyDescent="0.2">
      <c r="B56" t="s">
        <v>160</v>
      </c>
      <c r="C56" s="12">
        <v>30</v>
      </c>
      <c r="D56" s="8">
        <v>2.4</v>
      </c>
      <c r="E56" s="12">
        <v>14</v>
      </c>
      <c r="F56" s="8">
        <v>1.76</v>
      </c>
      <c r="G56" s="12">
        <v>16</v>
      </c>
      <c r="H56" s="8">
        <v>3.6</v>
      </c>
      <c r="I56" s="12">
        <v>0</v>
      </c>
    </row>
    <row r="57" spans="2:9" ht="15" customHeight="1" x14ac:dyDescent="0.2">
      <c r="B57" t="s">
        <v>159</v>
      </c>
      <c r="C57" s="12">
        <v>27</v>
      </c>
      <c r="D57" s="8">
        <v>2.16</v>
      </c>
      <c r="E57" s="12">
        <v>18</v>
      </c>
      <c r="F57" s="8">
        <v>2.2599999999999998</v>
      </c>
      <c r="G57" s="12">
        <v>9</v>
      </c>
      <c r="H57" s="8">
        <v>2.0299999999999998</v>
      </c>
      <c r="I57" s="12">
        <v>0</v>
      </c>
    </row>
    <row r="58" spans="2:9" ht="15" customHeight="1" x14ac:dyDescent="0.2">
      <c r="B58" t="s">
        <v>171</v>
      </c>
      <c r="C58" s="12">
        <v>24</v>
      </c>
      <c r="D58" s="8">
        <v>1.92</v>
      </c>
      <c r="E58" s="12">
        <v>20</v>
      </c>
      <c r="F58" s="8">
        <v>2.5099999999999998</v>
      </c>
      <c r="G58" s="12">
        <v>4</v>
      </c>
      <c r="H58" s="8">
        <v>0.9</v>
      </c>
      <c r="I58" s="12">
        <v>0</v>
      </c>
    </row>
    <row r="59" spans="2:9" ht="15" customHeight="1" x14ac:dyDescent="0.2">
      <c r="B59" t="s">
        <v>166</v>
      </c>
      <c r="C59" s="12">
        <v>23</v>
      </c>
      <c r="D59" s="8">
        <v>1.84</v>
      </c>
      <c r="E59" s="12">
        <v>20</v>
      </c>
      <c r="F59" s="8">
        <v>2.5099999999999998</v>
      </c>
      <c r="G59" s="12">
        <v>3</v>
      </c>
      <c r="H59" s="8">
        <v>0.68</v>
      </c>
      <c r="I59" s="12">
        <v>0</v>
      </c>
    </row>
    <row r="60" spans="2:9" ht="15" customHeight="1" x14ac:dyDescent="0.2">
      <c r="B60" t="s">
        <v>164</v>
      </c>
      <c r="C60" s="12">
        <v>22</v>
      </c>
      <c r="D60" s="8">
        <v>1.76</v>
      </c>
      <c r="E60" s="12">
        <v>10</v>
      </c>
      <c r="F60" s="8">
        <v>1.26</v>
      </c>
      <c r="G60" s="12">
        <v>12</v>
      </c>
      <c r="H60" s="8">
        <v>2.7</v>
      </c>
      <c r="I60" s="12">
        <v>0</v>
      </c>
    </row>
    <row r="61" spans="2:9" ht="15" customHeight="1" x14ac:dyDescent="0.2">
      <c r="B61" t="s">
        <v>165</v>
      </c>
      <c r="C61" s="12">
        <v>20</v>
      </c>
      <c r="D61" s="8">
        <v>1.6</v>
      </c>
      <c r="E61" s="12">
        <v>8</v>
      </c>
      <c r="F61" s="8">
        <v>1.01</v>
      </c>
      <c r="G61" s="12">
        <v>11</v>
      </c>
      <c r="H61" s="8">
        <v>2.48</v>
      </c>
      <c r="I61" s="12">
        <v>0</v>
      </c>
    </row>
    <row r="62" spans="2:9" ht="15" customHeight="1" x14ac:dyDescent="0.2">
      <c r="B62" t="s">
        <v>179</v>
      </c>
      <c r="C62" s="12">
        <v>20</v>
      </c>
      <c r="D62" s="8">
        <v>1.6</v>
      </c>
      <c r="E62" s="12">
        <v>19</v>
      </c>
      <c r="F62" s="8">
        <v>2.39</v>
      </c>
      <c r="G62" s="12">
        <v>1</v>
      </c>
      <c r="H62" s="8">
        <v>0.23</v>
      </c>
      <c r="I62" s="12">
        <v>0</v>
      </c>
    </row>
    <row r="63" spans="2:9" ht="15" customHeight="1" x14ac:dyDescent="0.2">
      <c r="B63" t="s">
        <v>157</v>
      </c>
      <c r="C63" s="12">
        <v>19</v>
      </c>
      <c r="D63" s="8">
        <v>1.52</v>
      </c>
      <c r="E63" s="12">
        <v>14</v>
      </c>
      <c r="F63" s="8">
        <v>1.76</v>
      </c>
      <c r="G63" s="12">
        <v>5</v>
      </c>
      <c r="H63" s="8">
        <v>1.1299999999999999</v>
      </c>
      <c r="I63" s="12">
        <v>0</v>
      </c>
    </row>
    <row r="64" spans="2:9" ht="15" customHeight="1" x14ac:dyDescent="0.2">
      <c r="B64" t="s">
        <v>182</v>
      </c>
      <c r="C64" s="12">
        <v>19</v>
      </c>
      <c r="D64" s="8">
        <v>1.52</v>
      </c>
      <c r="E64" s="12">
        <v>14</v>
      </c>
      <c r="F64" s="8">
        <v>1.76</v>
      </c>
      <c r="G64" s="12">
        <v>5</v>
      </c>
      <c r="H64" s="8">
        <v>1.1299999999999999</v>
      </c>
      <c r="I64" s="12">
        <v>0</v>
      </c>
    </row>
    <row r="65" spans="2:9" ht="15" customHeight="1" x14ac:dyDescent="0.2">
      <c r="B65" t="s">
        <v>155</v>
      </c>
      <c r="C65" s="12">
        <v>18</v>
      </c>
      <c r="D65" s="8">
        <v>1.44</v>
      </c>
      <c r="E65" s="12">
        <v>2</v>
      </c>
      <c r="F65" s="8">
        <v>0.25</v>
      </c>
      <c r="G65" s="12">
        <v>16</v>
      </c>
      <c r="H65" s="8">
        <v>3.6</v>
      </c>
      <c r="I65" s="12">
        <v>0</v>
      </c>
    </row>
    <row r="66" spans="2:9" ht="15" customHeight="1" x14ac:dyDescent="0.2">
      <c r="B66" t="s">
        <v>178</v>
      </c>
      <c r="C66" s="12">
        <v>18</v>
      </c>
      <c r="D66" s="8">
        <v>1.44</v>
      </c>
      <c r="E66" s="12">
        <v>17</v>
      </c>
      <c r="F66" s="8">
        <v>2.14</v>
      </c>
      <c r="G66" s="12">
        <v>1</v>
      </c>
      <c r="H66" s="8">
        <v>0.23</v>
      </c>
      <c r="I66" s="12">
        <v>0</v>
      </c>
    </row>
    <row r="68" spans="2:9" ht="15" customHeight="1" x14ac:dyDescent="0.2">
      <c r="B68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7C5E1-CAA2-4840-AF7A-23F52ED8B30B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310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223</v>
      </c>
      <c r="D6" s="8">
        <v>13.48</v>
      </c>
      <c r="E6" s="12">
        <v>106</v>
      </c>
      <c r="F6" s="8">
        <v>10.02</v>
      </c>
      <c r="G6" s="12">
        <v>117</v>
      </c>
      <c r="H6" s="8">
        <v>20.63</v>
      </c>
      <c r="I6" s="12">
        <v>0</v>
      </c>
    </row>
    <row r="7" spans="2:9" ht="15" customHeight="1" x14ac:dyDescent="0.2">
      <c r="B7" t="s">
        <v>77</v>
      </c>
      <c r="C7" s="12">
        <v>216</v>
      </c>
      <c r="D7" s="8">
        <v>13.06</v>
      </c>
      <c r="E7" s="12">
        <v>125</v>
      </c>
      <c r="F7" s="8">
        <v>11.81</v>
      </c>
      <c r="G7" s="12">
        <v>91</v>
      </c>
      <c r="H7" s="8">
        <v>16.05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0.06</v>
      </c>
      <c r="E8" s="12">
        <v>1</v>
      </c>
      <c r="F8" s="8">
        <v>0.09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3</v>
      </c>
      <c r="D9" s="8">
        <v>0.18</v>
      </c>
      <c r="E9" s="12">
        <v>0</v>
      </c>
      <c r="F9" s="8">
        <v>0</v>
      </c>
      <c r="G9" s="12">
        <v>3</v>
      </c>
      <c r="H9" s="8">
        <v>0.53</v>
      </c>
      <c r="I9" s="12">
        <v>0</v>
      </c>
    </row>
    <row r="10" spans="2:9" ht="15" customHeight="1" x14ac:dyDescent="0.2">
      <c r="B10" t="s">
        <v>80</v>
      </c>
      <c r="C10" s="12">
        <v>8</v>
      </c>
      <c r="D10" s="8">
        <v>0.48</v>
      </c>
      <c r="E10" s="12">
        <v>2</v>
      </c>
      <c r="F10" s="8">
        <v>0.19</v>
      </c>
      <c r="G10" s="12">
        <v>6</v>
      </c>
      <c r="H10" s="8">
        <v>1.06</v>
      </c>
      <c r="I10" s="12">
        <v>0</v>
      </c>
    </row>
    <row r="11" spans="2:9" ht="15" customHeight="1" x14ac:dyDescent="0.2">
      <c r="B11" t="s">
        <v>81</v>
      </c>
      <c r="C11" s="12">
        <v>478</v>
      </c>
      <c r="D11" s="8">
        <v>28.9</v>
      </c>
      <c r="E11" s="12">
        <v>314</v>
      </c>
      <c r="F11" s="8">
        <v>29.68</v>
      </c>
      <c r="G11" s="12">
        <v>164</v>
      </c>
      <c r="H11" s="8">
        <v>28.92</v>
      </c>
      <c r="I11" s="12">
        <v>0</v>
      </c>
    </row>
    <row r="12" spans="2:9" ht="15" customHeight="1" x14ac:dyDescent="0.2">
      <c r="B12" t="s">
        <v>82</v>
      </c>
      <c r="C12" s="12">
        <v>7</v>
      </c>
      <c r="D12" s="8">
        <v>0.42</v>
      </c>
      <c r="E12" s="12">
        <v>3</v>
      </c>
      <c r="F12" s="8">
        <v>0.28000000000000003</v>
      </c>
      <c r="G12" s="12">
        <v>4</v>
      </c>
      <c r="H12" s="8">
        <v>0.71</v>
      </c>
      <c r="I12" s="12">
        <v>0</v>
      </c>
    </row>
    <row r="13" spans="2:9" ht="15" customHeight="1" x14ac:dyDescent="0.2">
      <c r="B13" t="s">
        <v>83</v>
      </c>
      <c r="C13" s="12">
        <v>103</v>
      </c>
      <c r="D13" s="8">
        <v>6.23</v>
      </c>
      <c r="E13" s="12">
        <v>54</v>
      </c>
      <c r="F13" s="8">
        <v>5.0999999999999996</v>
      </c>
      <c r="G13" s="12">
        <v>49</v>
      </c>
      <c r="H13" s="8">
        <v>8.64</v>
      </c>
      <c r="I13" s="12">
        <v>0</v>
      </c>
    </row>
    <row r="14" spans="2:9" ht="15" customHeight="1" x14ac:dyDescent="0.2">
      <c r="B14" t="s">
        <v>84</v>
      </c>
      <c r="C14" s="12">
        <v>70</v>
      </c>
      <c r="D14" s="8">
        <v>4.2300000000000004</v>
      </c>
      <c r="E14" s="12">
        <v>36</v>
      </c>
      <c r="F14" s="8">
        <v>3.4</v>
      </c>
      <c r="G14" s="12">
        <v>34</v>
      </c>
      <c r="H14" s="8">
        <v>6</v>
      </c>
      <c r="I14" s="12">
        <v>0</v>
      </c>
    </row>
    <row r="15" spans="2:9" ht="15" customHeight="1" x14ac:dyDescent="0.2">
      <c r="B15" t="s">
        <v>85</v>
      </c>
      <c r="C15" s="12">
        <v>153</v>
      </c>
      <c r="D15" s="8">
        <v>9.25</v>
      </c>
      <c r="E15" s="12">
        <v>123</v>
      </c>
      <c r="F15" s="8">
        <v>11.63</v>
      </c>
      <c r="G15" s="12">
        <v>28</v>
      </c>
      <c r="H15" s="8">
        <v>4.9400000000000004</v>
      </c>
      <c r="I15" s="12">
        <v>0</v>
      </c>
    </row>
    <row r="16" spans="2:9" ht="15" customHeight="1" x14ac:dyDescent="0.2">
      <c r="B16" t="s">
        <v>86</v>
      </c>
      <c r="C16" s="12">
        <v>198</v>
      </c>
      <c r="D16" s="8">
        <v>11.97</v>
      </c>
      <c r="E16" s="12">
        <v>169</v>
      </c>
      <c r="F16" s="8">
        <v>15.97</v>
      </c>
      <c r="G16" s="12">
        <v>27</v>
      </c>
      <c r="H16" s="8">
        <v>4.76</v>
      </c>
      <c r="I16" s="12">
        <v>0</v>
      </c>
    </row>
    <row r="17" spans="2:9" ht="15" customHeight="1" x14ac:dyDescent="0.2">
      <c r="B17" t="s">
        <v>87</v>
      </c>
      <c r="C17" s="12">
        <v>49</v>
      </c>
      <c r="D17" s="8">
        <v>2.96</v>
      </c>
      <c r="E17" s="12">
        <v>23</v>
      </c>
      <c r="F17" s="8">
        <v>2.17</v>
      </c>
      <c r="G17" s="12">
        <v>5</v>
      </c>
      <c r="H17" s="8">
        <v>0.88</v>
      </c>
      <c r="I17" s="12">
        <v>0</v>
      </c>
    </row>
    <row r="18" spans="2:9" ht="15" customHeight="1" x14ac:dyDescent="0.2">
      <c r="B18" t="s">
        <v>88</v>
      </c>
      <c r="C18" s="12">
        <v>86</v>
      </c>
      <c r="D18" s="8">
        <v>5.2</v>
      </c>
      <c r="E18" s="12">
        <v>65</v>
      </c>
      <c r="F18" s="8">
        <v>6.14</v>
      </c>
      <c r="G18" s="12">
        <v>20</v>
      </c>
      <c r="H18" s="8">
        <v>3.53</v>
      </c>
      <c r="I18" s="12">
        <v>1</v>
      </c>
    </row>
    <row r="19" spans="2:9" ht="15" customHeight="1" x14ac:dyDescent="0.2">
      <c r="B19" t="s">
        <v>89</v>
      </c>
      <c r="C19" s="12">
        <v>59</v>
      </c>
      <c r="D19" s="8">
        <v>3.57</v>
      </c>
      <c r="E19" s="12">
        <v>37</v>
      </c>
      <c r="F19" s="8">
        <v>3.5</v>
      </c>
      <c r="G19" s="12">
        <v>19</v>
      </c>
      <c r="H19" s="8">
        <v>3.35</v>
      </c>
      <c r="I19" s="12">
        <v>0</v>
      </c>
    </row>
    <row r="20" spans="2:9" ht="15" customHeight="1" x14ac:dyDescent="0.2">
      <c r="B20" s="9" t="s">
        <v>285</v>
      </c>
      <c r="C20" s="12">
        <f>SUM(LTBL_40207[総数／事業所数])</f>
        <v>1654</v>
      </c>
      <c r="E20" s="12">
        <f>SUBTOTAL(109,LTBL_40207[個人／事業所数])</f>
        <v>1058</v>
      </c>
      <c r="G20" s="12">
        <f>SUBTOTAL(109,LTBL_40207[法人／事業所数])</f>
        <v>567</v>
      </c>
      <c r="I20" s="12">
        <f>SUBTOTAL(109,LTBL_40207[法人以外の団体／事業所数])</f>
        <v>1</v>
      </c>
    </row>
    <row r="21" spans="2:9" ht="15" customHeight="1" x14ac:dyDescent="0.2">
      <c r="E21" s="11">
        <f>LTBL_40207[[#Totals],[個人／事業所数]]/LTBL_40207[[#Totals],[総数／事業所数]]</f>
        <v>0.6396614268440145</v>
      </c>
      <c r="G21" s="11">
        <f>LTBL_40207[[#Totals],[法人／事業所数]]/LTBL_40207[[#Totals],[総数／事業所数]]</f>
        <v>0.34280532043530837</v>
      </c>
      <c r="I21" s="11">
        <f>LTBL_40207[[#Totals],[法人以外の団体／事業所数]]/LTBL_40207[[#Totals],[総数／事業所数]]</f>
        <v>6.0459492140266019E-4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167</v>
      </c>
      <c r="D24" s="8">
        <v>10.1</v>
      </c>
      <c r="E24" s="12">
        <v>152</v>
      </c>
      <c r="F24" s="8">
        <v>14.37</v>
      </c>
      <c r="G24" s="12">
        <v>15</v>
      </c>
      <c r="H24" s="8">
        <v>2.65</v>
      </c>
      <c r="I24" s="12">
        <v>0</v>
      </c>
    </row>
    <row r="25" spans="2:9" ht="15" customHeight="1" x14ac:dyDescent="0.2">
      <c r="B25" t="s">
        <v>107</v>
      </c>
      <c r="C25" s="12">
        <v>138</v>
      </c>
      <c r="D25" s="8">
        <v>8.34</v>
      </c>
      <c r="E25" s="12">
        <v>84</v>
      </c>
      <c r="F25" s="8">
        <v>7.94</v>
      </c>
      <c r="G25" s="12">
        <v>54</v>
      </c>
      <c r="H25" s="8">
        <v>9.52</v>
      </c>
      <c r="I25" s="12">
        <v>0</v>
      </c>
    </row>
    <row r="26" spans="2:9" ht="15" customHeight="1" x14ac:dyDescent="0.2">
      <c r="B26" t="s">
        <v>105</v>
      </c>
      <c r="C26" s="12">
        <v>131</v>
      </c>
      <c r="D26" s="8">
        <v>7.92</v>
      </c>
      <c r="E26" s="12">
        <v>114</v>
      </c>
      <c r="F26" s="8">
        <v>10.78</v>
      </c>
      <c r="G26" s="12">
        <v>17</v>
      </c>
      <c r="H26" s="8">
        <v>3</v>
      </c>
      <c r="I26" s="12">
        <v>0</v>
      </c>
    </row>
    <row r="27" spans="2:9" ht="15" customHeight="1" x14ac:dyDescent="0.2">
      <c r="B27" t="s">
        <v>112</v>
      </c>
      <c r="C27" s="12">
        <v>126</v>
      </c>
      <c r="D27" s="8">
        <v>7.62</v>
      </c>
      <c r="E27" s="12">
        <v>113</v>
      </c>
      <c r="F27" s="8">
        <v>10.68</v>
      </c>
      <c r="G27" s="12">
        <v>13</v>
      </c>
      <c r="H27" s="8">
        <v>2.29</v>
      </c>
      <c r="I27" s="12">
        <v>0</v>
      </c>
    </row>
    <row r="28" spans="2:9" ht="15" customHeight="1" x14ac:dyDescent="0.2">
      <c r="B28" t="s">
        <v>98</v>
      </c>
      <c r="C28" s="12">
        <v>115</v>
      </c>
      <c r="D28" s="8">
        <v>6.95</v>
      </c>
      <c r="E28" s="12">
        <v>40</v>
      </c>
      <c r="F28" s="8">
        <v>3.78</v>
      </c>
      <c r="G28" s="12">
        <v>75</v>
      </c>
      <c r="H28" s="8">
        <v>13.23</v>
      </c>
      <c r="I28" s="12">
        <v>0</v>
      </c>
    </row>
    <row r="29" spans="2:9" ht="15" customHeight="1" x14ac:dyDescent="0.2">
      <c r="B29" t="s">
        <v>109</v>
      </c>
      <c r="C29" s="12">
        <v>86</v>
      </c>
      <c r="D29" s="8">
        <v>5.2</v>
      </c>
      <c r="E29" s="12">
        <v>50</v>
      </c>
      <c r="F29" s="8">
        <v>4.7300000000000004</v>
      </c>
      <c r="G29" s="12">
        <v>36</v>
      </c>
      <c r="H29" s="8">
        <v>6.35</v>
      </c>
      <c r="I29" s="12">
        <v>0</v>
      </c>
    </row>
    <row r="30" spans="2:9" ht="15" customHeight="1" x14ac:dyDescent="0.2">
      <c r="B30" t="s">
        <v>115</v>
      </c>
      <c r="C30" s="12">
        <v>70</v>
      </c>
      <c r="D30" s="8">
        <v>4.2300000000000004</v>
      </c>
      <c r="E30" s="12">
        <v>65</v>
      </c>
      <c r="F30" s="8">
        <v>6.14</v>
      </c>
      <c r="G30" s="12">
        <v>5</v>
      </c>
      <c r="H30" s="8">
        <v>0.88</v>
      </c>
      <c r="I30" s="12">
        <v>0</v>
      </c>
    </row>
    <row r="31" spans="2:9" ht="15" customHeight="1" x14ac:dyDescent="0.2">
      <c r="B31" t="s">
        <v>106</v>
      </c>
      <c r="C31" s="12">
        <v>68</v>
      </c>
      <c r="D31" s="8">
        <v>4.1100000000000003</v>
      </c>
      <c r="E31" s="12">
        <v>51</v>
      </c>
      <c r="F31" s="8">
        <v>4.82</v>
      </c>
      <c r="G31" s="12">
        <v>17</v>
      </c>
      <c r="H31" s="8">
        <v>3</v>
      </c>
      <c r="I31" s="12">
        <v>0</v>
      </c>
    </row>
    <row r="32" spans="2:9" ht="15" customHeight="1" x14ac:dyDescent="0.2">
      <c r="B32" t="s">
        <v>99</v>
      </c>
      <c r="C32" s="12">
        <v>63</v>
      </c>
      <c r="D32" s="8">
        <v>3.81</v>
      </c>
      <c r="E32" s="12">
        <v>44</v>
      </c>
      <c r="F32" s="8">
        <v>4.16</v>
      </c>
      <c r="G32" s="12">
        <v>19</v>
      </c>
      <c r="H32" s="8">
        <v>3.35</v>
      </c>
      <c r="I32" s="12">
        <v>0</v>
      </c>
    </row>
    <row r="33" spans="2:9" ht="15" customHeight="1" x14ac:dyDescent="0.2">
      <c r="B33" t="s">
        <v>114</v>
      </c>
      <c r="C33" s="12">
        <v>49</v>
      </c>
      <c r="D33" s="8">
        <v>2.96</v>
      </c>
      <c r="E33" s="12">
        <v>23</v>
      </c>
      <c r="F33" s="8">
        <v>2.17</v>
      </c>
      <c r="G33" s="12">
        <v>5</v>
      </c>
      <c r="H33" s="8">
        <v>0.88</v>
      </c>
      <c r="I33" s="12">
        <v>0</v>
      </c>
    </row>
    <row r="34" spans="2:9" ht="15" customHeight="1" x14ac:dyDescent="0.2">
      <c r="B34" t="s">
        <v>100</v>
      </c>
      <c r="C34" s="12">
        <v>45</v>
      </c>
      <c r="D34" s="8">
        <v>2.72</v>
      </c>
      <c r="E34" s="12">
        <v>22</v>
      </c>
      <c r="F34" s="8">
        <v>2.08</v>
      </c>
      <c r="G34" s="12">
        <v>23</v>
      </c>
      <c r="H34" s="8">
        <v>4.0599999999999996</v>
      </c>
      <c r="I34" s="12">
        <v>0</v>
      </c>
    </row>
    <row r="35" spans="2:9" ht="15" customHeight="1" x14ac:dyDescent="0.2">
      <c r="B35" t="s">
        <v>104</v>
      </c>
      <c r="C35" s="12">
        <v>43</v>
      </c>
      <c r="D35" s="8">
        <v>2.6</v>
      </c>
      <c r="E35" s="12">
        <v>31</v>
      </c>
      <c r="F35" s="8">
        <v>2.93</v>
      </c>
      <c r="G35" s="12">
        <v>12</v>
      </c>
      <c r="H35" s="8">
        <v>2.12</v>
      </c>
      <c r="I35" s="12">
        <v>0</v>
      </c>
    </row>
    <row r="36" spans="2:9" ht="15" customHeight="1" x14ac:dyDescent="0.2">
      <c r="B36" t="s">
        <v>131</v>
      </c>
      <c r="C36" s="12">
        <v>42</v>
      </c>
      <c r="D36" s="8">
        <v>2.54</v>
      </c>
      <c r="E36" s="12">
        <v>30</v>
      </c>
      <c r="F36" s="8">
        <v>2.84</v>
      </c>
      <c r="G36" s="12">
        <v>12</v>
      </c>
      <c r="H36" s="8">
        <v>2.12</v>
      </c>
      <c r="I36" s="12">
        <v>0</v>
      </c>
    </row>
    <row r="37" spans="2:9" ht="15" customHeight="1" x14ac:dyDescent="0.2">
      <c r="B37" t="s">
        <v>132</v>
      </c>
      <c r="C37" s="12">
        <v>41</v>
      </c>
      <c r="D37" s="8">
        <v>2.48</v>
      </c>
      <c r="E37" s="12">
        <v>34</v>
      </c>
      <c r="F37" s="8">
        <v>3.21</v>
      </c>
      <c r="G37" s="12">
        <v>7</v>
      </c>
      <c r="H37" s="8">
        <v>1.23</v>
      </c>
      <c r="I37" s="12">
        <v>0</v>
      </c>
    </row>
    <row r="38" spans="2:9" ht="15" customHeight="1" x14ac:dyDescent="0.2">
      <c r="B38" t="s">
        <v>111</v>
      </c>
      <c r="C38" s="12">
        <v>37</v>
      </c>
      <c r="D38" s="8">
        <v>2.2400000000000002</v>
      </c>
      <c r="E38" s="12">
        <v>14</v>
      </c>
      <c r="F38" s="8">
        <v>1.32</v>
      </c>
      <c r="G38" s="12">
        <v>23</v>
      </c>
      <c r="H38" s="8">
        <v>4.0599999999999996</v>
      </c>
      <c r="I38" s="12">
        <v>0</v>
      </c>
    </row>
    <row r="39" spans="2:9" ht="15" customHeight="1" x14ac:dyDescent="0.2">
      <c r="B39" t="s">
        <v>110</v>
      </c>
      <c r="C39" s="12">
        <v>33</v>
      </c>
      <c r="D39" s="8">
        <v>2</v>
      </c>
      <c r="E39" s="12">
        <v>22</v>
      </c>
      <c r="F39" s="8">
        <v>2.08</v>
      </c>
      <c r="G39" s="12">
        <v>11</v>
      </c>
      <c r="H39" s="8">
        <v>1.94</v>
      </c>
      <c r="I39" s="12">
        <v>0</v>
      </c>
    </row>
    <row r="40" spans="2:9" ht="15" customHeight="1" x14ac:dyDescent="0.2">
      <c r="B40" t="s">
        <v>123</v>
      </c>
      <c r="C40" s="12">
        <v>31</v>
      </c>
      <c r="D40" s="8">
        <v>1.87</v>
      </c>
      <c r="E40" s="12">
        <v>29</v>
      </c>
      <c r="F40" s="8">
        <v>2.74</v>
      </c>
      <c r="G40" s="12">
        <v>2</v>
      </c>
      <c r="H40" s="8">
        <v>0.35</v>
      </c>
      <c r="I40" s="12">
        <v>0</v>
      </c>
    </row>
    <row r="41" spans="2:9" ht="15" customHeight="1" x14ac:dyDescent="0.2">
      <c r="B41" t="s">
        <v>124</v>
      </c>
      <c r="C41" s="12">
        <v>27</v>
      </c>
      <c r="D41" s="8">
        <v>1.63</v>
      </c>
      <c r="E41" s="12">
        <v>14</v>
      </c>
      <c r="F41" s="8">
        <v>1.32</v>
      </c>
      <c r="G41" s="12">
        <v>13</v>
      </c>
      <c r="H41" s="8">
        <v>2.29</v>
      </c>
      <c r="I41" s="12">
        <v>0</v>
      </c>
    </row>
    <row r="42" spans="2:9" ht="15" customHeight="1" x14ac:dyDescent="0.2">
      <c r="B42" t="s">
        <v>130</v>
      </c>
      <c r="C42" s="12">
        <v>23</v>
      </c>
      <c r="D42" s="8">
        <v>1.39</v>
      </c>
      <c r="E42" s="12">
        <v>7</v>
      </c>
      <c r="F42" s="8">
        <v>0.66</v>
      </c>
      <c r="G42" s="12">
        <v>16</v>
      </c>
      <c r="H42" s="8">
        <v>2.82</v>
      </c>
      <c r="I42" s="12">
        <v>0</v>
      </c>
    </row>
    <row r="43" spans="2:9" ht="15" customHeight="1" x14ac:dyDescent="0.2">
      <c r="B43" t="s">
        <v>119</v>
      </c>
      <c r="C43" s="12">
        <v>22</v>
      </c>
      <c r="D43" s="8">
        <v>1.33</v>
      </c>
      <c r="E43" s="12">
        <v>12</v>
      </c>
      <c r="F43" s="8">
        <v>1.1299999999999999</v>
      </c>
      <c r="G43" s="12">
        <v>10</v>
      </c>
      <c r="H43" s="8">
        <v>1.76</v>
      </c>
      <c r="I43" s="12">
        <v>0</v>
      </c>
    </row>
    <row r="44" spans="2:9" ht="15" customHeight="1" x14ac:dyDescent="0.2">
      <c r="B44" t="s">
        <v>101</v>
      </c>
      <c r="C44" s="12">
        <v>22</v>
      </c>
      <c r="D44" s="8">
        <v>1.33</v>
      </c>
      <c r="E44" s="12">
        <v>6</v>
      </c>
      <c r="F44" s="8">
        <v>0.56999999999999995</v>
      </c>
      <c r="G44" s="12">
        <v>16</v>
      </c>
      <c r="H44" s="8">
        <v>2.82</v>
      </c>
      <c r="I44" s="12">
        <v>0</v>
      </c>
    </row>
    <row r="47" spans="2:9" ht="33" customHeight="1" x14ac:dyDescent="0.2">
      <c r="B47" t="s">
        <v>287</v>
      </c>
      <c r="C47" s="10" t="s">
        <v>91</v>
      </c>
      <c r="D47" s="10" t="s">
        <v>92</v>
      </c>
      <c r="E47" s="10" t="s">
        <v>93</v>
      </c>
      <c r="F47" s="10" t="s">
        <v>94</v>
      </c>
      <c r="G47" s="10" t="s">
        <v>95</v>
      </c>
      <c r="H47" s="10" t="s">
        <v>96</v>
      </c>
      <c r="I47" s="10" t="s">
        <v>97</v>
      </c>
    </row>
    <row r="48" spans="2:9" ht="15" customHeight="1" x14ac:dyDescent="0.2">
      <c r="B48" t="s">
        <v>170</v>
      </c>
      <c r="C48" s="12">
        <v>89</v>
      </c>
      <c r="D48" s="8">
        <v>5.38</v>
      </c>
      <c r="E48" s="12">
        <v>86</v>
      </c>
      <c r="F48" s="8">
        <v>8.1300000000000008</v>
      </c>
      <c r="G48" s="12">
        <v>3</v>
      </c>
      <c r="H48" s="8">
        <v>0.53</v>
      </c>
      <c r="I48" s="12">
        <v>0</v>
      </c>
    </row>
    <row r="49" spans="2:9" ht="15" customHeight="1" x14ac:dyDescent="0.2">
      <c r="B49" t="s">
        <v>164</v>
      </c>
      <c r="C49" s="12">
        <v>57</v>
      </c>
      <c r="D49" s="8">
        <v>3.45</v>
      </c>
      <c r="E49" s="12">
        <v>39</v>
      </c>
      <c r="F49" s="8">
        <v>3.69</v>
      </c>
      <c r="G49" s="12">
        <v>18</v>
      </c>
      <c r="H49" s="8">
        <v>3.17</v>
      </c>
      <c r="I49" s="12">
        <v>0</v>
      </c>
    </row>
    <row r="50" spans="2:9" ht="15" customHeight="1" x14ac:dyDescent="0.2">
      <c r="B50" t="s">
        <v>154</v>
      </c>
      <c r="C50" s="12">
        <v>55</v>
      </c>
      <c r="D50" s="8">
        <v>3.33</v>
      </c>
      <c r="E50" s="12">
        <v>13</v>
      </c>
      <c r="F50" s="8">
        <v>1.23</v>
      </c>
      <c r="G50" s="12">
        <v>42</v>
      </c>
      <c r="H50" s="8">
        <v>7.41</v>
      </c>
      <c r="I50" s="12">
        <v>0</v>
      </c>
    </row>
    <row r="51" spans="2:9" ht="15" customHeight="1" x14ac:dyDescent="0.2">
      <c r="B51" t="s">
        <v>169</v>
      </c>
      <c r="C51" s="12">
        <v>52</v>
      </c>
      <c r="D51" s="8">
        <v>3.14</v>
      </c>
      <c r="E51" s="12">
        <v>52</v>
      </c>
      <c r="F51" s="8">
        <v>4.91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172</v>
      </c>
      <c r="C52" s="12">
        <v>47</v>
      </c>
      <c r="D52" s="8">
        <v>2.84</v>
      </c>
      <c r="E52" s="12">
        <v>42</v>
      </c>
      <c r="F52" s="8">
        <v>3.97</v>
      </c>
      <c r="G52" s="12">
        <v>5</v>
      </c>
      <c r="H52" s="8">
        <v>0.88</v>
      </c>
      <c r="I52" s="12">
        <v>0</v>
      </c>
    </row>
    <row r="53" spans="2:9" ht="15" customHeight="1" x14ac:dyDescent="0.2">
      <c r="B53" t="s">
        <v>158</v>
      </c>
      <c r="C53" s="12">
        <v>42</v>
      </c>
      <c r="D53" s="8">
        <v>2.54</v>
      </c>
      <c r="E53" s="12">
        <v>32</v>
      </c>
      <c r="F53" s="8">
        <v>3.02</v>
      </c>
      <c r="G53" s="12">
        <v>10</v>
      </c>
      <c r="H53" s="8">
        <v>1.76</v>
      </c>
      <c r="I53" s="12">
        <v>0</v>
      </c>
    </row>
    <row r="54" spans="2:9" ht="15" customHeight="1" x14ac:dyDescent="0.2">
      <c r="B54" t="s">
        <v>159</v>
      </c>
      <c r="C54" s="12">
        <v>40</v>
      </c>
      <c r="D54" s="8">
        <v>2.42</v>
      </c>
      <c r="E54" s="12">
        <v>28</v>
      </c>
      <c r="F54" s="8">
        <v>2.65</v>
      </c>
      <c r="G54" s="12">
        <v>12</v>
      </c>
      <c r="H54" s="8">
        <v>2.12</v>
      </c>
      <c r="I54" s="12">
        <v>0</v>
      </c>
    </row>
    <row r="55" spans="2:9" ht="15" customHeight="1" x14ac:dyDescent="0.2">
      <c r="B55" t="s">
        <v>160</v>
      </c>
      <c r="C55" s="12">
        <v>38</v>
      </c>
      <c r="D55" s="8">
        <v>2.2999999999999998</v>
      </c>
      <c r="E55" s="12">
        <v>18</v>
      </c>
      <c r="F55" s="8">
        <v>1.7</v>
      </c>
      <c r="G55" s="12">
        <v>20</v>
      </c>
      <c r="H55" s="8">
        <v>3.53</v>
      </c>
      <c r="I55" s="12">
        <v>0</v>
      </c>
    </row>
    <row r="56" spans="2:9" ht="15" customHeight="1" x14ac:dyDescent="0.2">
      <c r="B56" t="s">
        <v>210</v>
      </c>
      <c r="C56" s="12">
        <v>34</v>
      </c>
      <c r="D56" s="8">
        <v>2.06</v>
      </c>
      <c r="E56" s="12">
        <v>29</v>
      </c>
      <c r="F56" s="8">
        <v>2.74</v>
      </c>
      <c r="G56" s="12">
        <v>5</v>
      </c>
      <c r="H56" s="8">
        <v>0.88</v>
      </c>
      <c r="I56" s="12">
        <v>0</v>
      </c>
    </row>
    <row r="57" spans="2:9" ht="15" customHeight="1" x14ac:dyDescent="0.2">
      <c r="B57" t="s">
        <v>166</v>
      </c>
      <c r="C57" s="12">
        <v>34</v>
      </c>
      <c r="D57" s="8">
        <v>2.06</v>
      </c>
      <c r="E57" s="12">
        <v>27</v>
      </c>
      <c r="F57" s="8">
        <v>2.5499999999999998</v>
      </c>
      <c r="G57" s="12">
        <v>7</v>
      </c>
      <c r="H57" s="8">
        <v>1.23</v>
      </c>
      <c r="I57" s="12">
        <v>0</v>
      </c>
    </row>
    <row r="58" spans="2:9" ht="15" customHeight="1" x14ac:dyDescent="0.2">
      <c r="B58" t="s">
        <v>165</v>
      </c>
      <c r="C58" s="12">
        <v>31</v>
      </c>
      <c r="D58" s="8">
        <v>1.87</v>
      </c>
      <c r="E58" s="12">
        <v>11</v>
      </c>
      <c r="F58" s="8">
        <v>1.04</v>
      </c>
      <c r="G58" s="12">
        <v>20</v>
      </c>
      <c r="H58" s="8">
        <v>3.53</v>
      </c>
      <c r="I58" s="12">
        <v>0</v>
      </c>
    </row>
    <row r="59" spans="2:9" ht="15" customHeight="1" x14ac:dyDescent="0.2">
      <c r="B59" t="s">
        <v>173</v>
      </c>
      <c r="C59" s="12">
        <v>31</v>
      </c>
      <c r="D59" s="8">
        <v>1.87</v>
      </c>
      <c r="E59" s="12">
        <v>29</v>
      </c>
      <c r="F59" s="8">
        <v>2.74</v>
      </c>
      <c r="G59" s="12">
        <v>2</v>
      </c>
      <c r="H59" s="8">
        <v>0.35</v>
      </c>
      <c r="I59" s="12">
        <v>0</v>
      </c>
    </row>
    <row r="60" spans="2:9" ht="15" customHeight="1" x14ac:dyDescent="0.2">
      <c r="B60" t="s">
        <v>177</v>
      </c>
      <c r="C60" s="12">
        <v>30</v>
      </c>
      <c r="D60" s="8">
        <v>1.81</v>
      </c>
      <c r="E60" s="12">
        <v>27</v>
      </c>
      <c r="F60" s="8">
        <v>2.5499999999999998</v>
      </c>
      <c r="G60" s="12">
        <v>3</v>
      </c>
      <c r="H60" s="8">
        <v>0.53</v>
      </c>
      <c r="I60" s="12">
        <v>0</v>
      </c>
    </row>
    <row r="61" spans="2:9" ht="15" customHeight="1" x14ac:dyDescent="0.2">
      <c r="B61" t="s">
        <v>209</v>
      </c>
      <c r="C61" s="12">
        <v>29</v>
      </c>
      <c r="D61" s="8">
        <v>1.75</v>
      </c>
      <c r="E61" s="12">
        <v>20</v>
      </c>
      <c r="F61" s="8">
        <v>1.89</v>
      </c>
      <c r="G61" s="12">
        <v>9</v>
      </c>
      <c r="H61" s="8">
        <v>1.59</v>
      </c>
      <c r="I61" s="12">
        <v>0</v>
      </c>
    </row>
    <row r="62" spans="2:9" ht="15" customHeight="1" x14ac:dyDescent="0.2">
      <c r="B62" t="s">
        <v>161</v>
      </c>
      <c r="C62" s="12">
        <v>28</v>
      </c>
      <c r="D62" s="8">
        <v>1.69</v>
      </c>
      <c r="E62" s="12">
        <v>26</v>
      </c>
      <c r="F62" s="8">
        <v>2.46</v>
      </c>
      <c r="G62" s="12">
        <v>2</v>
      </c>
      <c r="H62" s="8">
        <v>0.35</v>
      </c>
      <c r="I62" s="12">
        <v>0</v>
      </c>
    </row>
    <row r="63" spans="2:9" ht="15" customHeight="1" x14ac:dyDescent="0.2">
      <c r="B63" t="s">
        <v>186</v>
      </c>
      <c r="C63" s="12">
        <v>27</v>
      </c>
      <c r="D63" s="8">
        <v>1.63</v>
      </c>
      <c r="E63" s="12">
        <v>22</v>
      </c>
      <c r="F63" s="8">
        <v>2.08</v>
      </c>
      <c r="G63" s="12">
        <v>5</v>
      </c>
      <c r="H63" s="8">
        <v>0.88</v>
      </c>
      <c r="I63" s="12">
        <v>0</v>
      </c>
    </row>
    <row r="64" spans="2:9" ht="15" customHeight="1" x14ac:dyDescent="0.2">
      <c r="B64" t="s">
        <v>167</v>
      </c>
      <c r="C64" s="12">
        <v>27</v>
      </c>
      <c r="D64" s="8">
        <v>1.63</v>
      </c>
      <c r="E64" s="12">
        <v>26</v>
      </c>
      <c r="F64" s="8">
        <v>2.46</v>
      </c>
      <c r="G64" s="12">
        <v>1</v>
      </c>
      <c r="H64" s="8">
        <v>0.18</v>
      </c>
      <c r="I64" s="12">
        <v>0</v>
      </c>
    </row>
    <row r="65" spans="2:9" ht="15" customHeight="1" x14ac:dyDescent="0.2">
      <c r="B65" t="s">
        <v>168</v>
      </c>
      <c r="C65" s="12">
        <v>27</v>
      </c>
      <c r="D65" s="8">
        <v>1.63</v>
      </c>
      <c r="E65" s="12">
        <v>27</v>
      </c>
      <c r="F65" s="8">
        <v>2.5499999999999998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156</v>
      </c>
      <c r="C66" s="12">
        <v>25</v>
      </c>
      <c r="D66" s="8">
        <v>1.51</v>
      </c>
      <c r="E66" s="12">
        <v>11</v>
      </c>
      <c r="F66" s="8">
        <v>1.04</v>
      </c>
      <c r="G66" s="12">
        <v>14</v>
      </c>
      <c r="H66" s="8">
        <v>2.4700000000000002</v>
      </c>
      <c r="I66" s="12">
        <v>0</v>
      </c>
    </row>
    <row r="67" spans="2:9" ht="15" customHeight="1" x14ac:dyDescent="0.2">
      <c r="B67" t="s">
        <v>208</v>
      </c>
      <c r="C67" s="12">
        <v>25</v>
      </c>
      <c r="D67" s="8">
        <v>1.51</v>
      </c>
      <c r="E67" s="12">
        <v>20</v>
      </c>
      <c r="F67" s="8">
        <v>1.89</v>
      </c>
      <c r="G67" s="12">
        <v>5</v>
      </c>
      <c r="H67" s="8">
        <v>0.88</v>
      </c>
      <c r="I67" s="12">
        <v>0</v>
      </c>
    </row>
    <row r="69" spans="2:9" ht="15" customHeight="1" x14ac:dyDescent="0.2">
      <c r="B69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EE821-17A8-420D-B384-19FCCDAEB682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311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313</v>
      </c>
      <c r="D6" s="8">
        <v>17.41</v>
      </c>
      <c r="E6" s="12">
        <v>204</v>
      </c>
      <c r="F6" s="8">
        <v>16.850000000000001</v>
      </c>
      <c r="G6" s="12">
        <v>109</v>
      </c>
      <c r="H6" s="8">
        <v>19.82</v>
      </c>
      <c r="I6" s="12">
        <v>0</v>
      </c>
    </row>
    <row r="7" spans="2:9" ht="15" customHeight="1" x14ac:dyDescent="0.2">
      <c r="B7" t="s">
        <v>77</v>
      </c>
      <c r="C7" s="12">
        <v>255</v>
      </c>
      <c r="D7" s="8">
        <v>14.18</v>
      </c>
      <c r="E7" s="12">
        <v>151</v>
      </c>
      <c r="F7" s="8">
        <v>12.47</v>
      </c>
      <c r="G7" s="12">
        <v>91</v>
      </c>
      <c r="H7" s="8">
        <v>16.55</v>
      </c>
      <c r="I7" s="12">
        <v>13</v>
      </c>
    </row>
    <row r="8" spans="2:9" ht="15" customHeight="1" x14ac:dyDescent="0.2">
      <c r="B8" t="s">
        <v>78</v>
      </c>
      <c r="C8" s="12">
        <v>2</v>
      </c>
      <c r="D8" s="8">
        <v>0.11</v>
      </c>
      <c r="E8" s="12">
        <v>0</v>
      </c>
      <c r="F8" s="8">
        <v>0</v>
      </c>
      <c r="G8" s="12">
        <v>2</v>
      </c>
      <c r="H8" s="8">
        <v>0.36</v>
      </c>
      <c r="I8" s="12">
        <v>0</v>
      </c>
    </row>
    <row r="9" spans="2:9" ht="15" customHeight="1" x14ac:dyDescent="0.2">
      <c r="B9" t="s">
        <v>79</v>
      </c>
      <c r="C9" s="12">
        <v>5</v>
      </c>
      <c r="D9" s="8">
        <v>0.28000000000000003</v>
      </c>
      <c r="E9" s="12">
        <v>0</v>
      </c>
      <c r="F9" s="8">
        <v>0</v>
      </c>
      <c r="G9" s="12">
        <v>5</v>
      </c>
      <c r="H9" s="8">
        <v>0.91</v>
      </c>
      <c r="I9" s="12">
        <v>0</v>
      </c>
    </row>
    <row r="10" spans="2:9" ht="15" customHeight="1" x14ac:dyDescent="0.2">
      <c r="B10" t="s">
        <v>80</v>
      </c>
      <c r="C10" s="12">
        <v>5</v>
      </c>
      <c r="D10" s="8">
        <v>0.28000000000000003</v>
      </c>
      <c r="E10" s="12">
        <v>0</v>
      </c>
      <c r="F10" s="8">
        <v>0</v>
      </c>
      <c r="G10" s="12">
        <v>4</v>
      </c>
      <c r="H10" s="8">
        <v>0.73</v>
      </c>
      <c r="I10" s="12">
        <v>1</v>
      </c>
    </row>
    <row r="11" spans="2:9" ht="15" customHeight="1" x14ac:dyDescent="0.2">
      <c r="B11" t="s">
        <v>81</v>
      </c>
      <c r="C11" s="12">
        <v>479</v>
      </c>
      <c r="D11" s="8">
        <v>26.64</v>
      </c>
      <c r="E11" s="12">
        <v>316</v>
      </c>
      <c r="F11" s="8">
        <v>26.09</v>
      </c>
      <c r="G11" s="12">
        <v>163</v>
      </c>
      <c r="H11" s="8">
        <v>29.64</v>
      </c>
      <c r="I11" s="12">
        <v>0</v>
      </c>
    </row>
    <row r="12" spans="2:9" ht="15" customHeight="1" x14ac:dyDescent="0.2">
      <c r="B12" t="s">
        <v>82</v>
      </c>
      <c r="C12" s="12">
        <v>9</v>
      </c>
      <c r="D12" s="8">
        <v>0.5</v>
      </c>
      <c r="E12" s="12">
        <v>2</v>
      </c>
      <c r="F12" s="8">
        <v>0.17</v>
      </c>
      <c r="G12" s="12">
        <v>7</v>
      </c>
      <c r="H12" s="8">
        <v>1.27</v>
      </c>
      <c r="I12" s="12">
        <v>0</v>
      </c>
    </row>
    <row r="13" spans="2:9" ht="15" customHeight="1" x14ac:dyDescent="0.2">
      <c r="B13" t="s">
        <v>83</v>
      </c>
      <c r="C13" s="12">
        <v>64</v>
      </c>
      <c r="D13" s="8">
        <v>3.56</v>
      </c>
      <c r="E13" s="12">
        <v>28</v>
      </c>
      <c r="F13" s="8">
        <v>2.31</v>
      </c>
      <c r="G13" s="12">
        <v>36</v>
      </c>
      <c r="H13" s="8">
        <v>6.55</v>
      </c>
      <c r="I13" s="12">
        <v>0</v>
      </c>
    </row>
    <row r="14" spans="2:9" ht="15" customHeight="1" x14ac:dyDescent="0.2">
      <c r="B14" t="s">
        <v>84</v>
      </c>
      <c r="C14" s="12">
        <v>72</v>
      </c>
      <c r="D14" s="8">
        <v>4</v>
      </c>
      <c r="E14" s="12">
        <v>41</v>
      </c>
      <c r="F14" s="8">
        <v>3.39</v>
      </c>
      <c r="G14" s="12">
        <v>30</v>
      </c>
      <c r="H14" s="8">
        <v>5.45</v>
      </c>
      <c r="I14" s="12">
        <v>0</v>
      </c>
    </row>
    <row r="15" spans="2:9" ht="15" customHeight="1" x14ac:dyDescent="0.2">
      <c r="B15" t="s">
        <v>85</v>
      </c>
      <c r="C15" s="12">
        <v>179</v>
      </c>
      <c r="D15" s="8">
        <v>9.9600000000000009</v>
      </c>
      <c r="E15" s="12">
        <v>165</v>
      </c>
      <c r="F15" s="8">
        <v>13.63</v>
      </c>
      <c r="G15" s="12">
        <v>14</v>
      </c>
      <c r="H15" s="8">
        <v>2.5499999999999998</v>
      </c>
      <c r="I15" s="12">
        <v>0</v>
      </c>
    </row>
    <row r="16" spans="2:9" ht="15" customHeight="1" x14ac:dyDescent="0.2">
      <c r="B16" t="s">
        <v>86</v>
      </c>
      <c r="C16" s="12">
        <v>201</v>
      </c>
      <c r="D16" s="8">
        <v>11.18</v>
      </c>
      <c r="E16" s="12">
        <v>170</v>
      </c>
      <c r="F16" s="8">
        <v>14.04</v>
      </c>
      <c r="G16" s="12">
        <v>31</v>
      </c>
      <c r="H16" s="8">
        <v>5.64</v>
      </c>
      <c r="I16" s="12">
        <v>0</v>
      </c>
    </row>
    <row r="17" spans="2:9" ht="15" customHeight="1" x14ac:dyDescent="0.2">
      <c r="B17" t="s">
        <v>87</v>
      </c>
      <c r="C17" s="12">
        <v>41</v>
      </c>
      <c r="D17" s="8">
        <v>2.2799999999999998</v>
      </c>
      <c r="E17" s="12">
        <v>21</v>
      </c>
      <c r="F17" s="8">
        <v>1.73</v>
      </c>
      <c r="G17" s="12">
        <v>6</v>
      </c>
      <c r="H17" s="8">
        <v>1.0900000000000001</v>
      </c>
      <c r="I17" s="12">
        <v>0</v>
      </c>
    </row>
    <row r="18" spans="2:9" ht="15" customHeight="1" x14ac:dyDescent="0.2">
      <c r="B18" t="s">
        <v>88</v>
      </c>
      <c r="C18" s="12">
        <v>75</v>
      </c>
      <c r="D18" s="8">
        <v>4.17</v>
      </c>
      <c r="E18" s="12">
        <v>48</v>
      </c>
      <c r="F18" s="8">
        <v>3.96</v>
      </c>
      <c r="G18" s="12">
        <v>21</v>
      </c>
      <c r="H18" s="8">
        <v>3.82</v>
      </c>
      <c r="I18" s="12">
        <v>0</v>
      </c>
    </row>
    <row r="19" spans="2:9" ht="15" customHeight="1" x14ac:dyDescent="0.2">
      <c r="B19" t="s">
        <v>89</v>
      </c>
      <c r="C19" s="12">
        <v>98</v>
      </c>
      <c r="D19" s="8">
        <v>5.45</v>
      </c>
      <c r="E19" s="12">
        <v>65</v>
      </c>
      <c r="F19" s="8">
        <v>5.37</v>
      </c>
      <c r="G19" s="12">
        <v>31</v>
      </c>
      <c r="H19" s="8">
        <v>5.64</v>
      </c>
      <c r="I19" s="12">
        <v>0</v>
      </c>
    </row>
    <row r="20" spans="2:9" ht="15" customHeight="1" x14ac:dyDescent="0.2">
      <c r="B20" s="9" t="s">
        <v>285</v>
      </c>
      <c r="C20" s="12">
        <f>SUM(LTBL_40210[総数／事業所数])</f>
        <v>1798</v>
      </c>
      <c r="E20" s="12">
        <f>SUBTOTAL(109,LTBL_40210[個人／事業所数])</f>
        <v>1211</v>
      </c>
      <c r="G20" s="12">
        <f>SUBTOTAL(109,LTBL_40210[法人／事業所数])</f>
        <v>550</v>
      </c>
      <c r="I20" s="12">
        <f>SUBTOTAL(109,LTBL_40210[法人以外の団体／事業所数])</f>
        <v>14</v>
      </c>
    </row>
    <row r="21" spans="2:9" ht="15" customHeight="1" x14ac:dyDescent="0.2">
      <c r="E21" s="11">
        <f>LTBL_40210[[#Totals],[個人／事業所数]]/LTBL_40210[[#Totals],[総数／事業所数]]</f>
        <v>0.67352614015572854</v>
      </c>
      <c r="G21" s="11">
        <f>LTBL_40210[[#Totals],[法人／事業所数]]/LTBL_40210[[#Totals],[総数／事業所数]]</f>
        <v>0.30589543937708563</v>
      </c>
      <c r="I21" s="11">
        <f>LTBL_40210[[#Totals],[法人以外の団体／事業所数]]/LTBL_40210[[#Totals],[総数／事業所数]]</f>
        <v>7.7864293659621799E-3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179</v>
      </c>
      <c r="D24" s="8">
        <v>9.9600000000000009</v>
      </c>
      <c r="E24" s="12">
        <v>160</v>
      </c>
      <c r="F24" s="8">
        <v>13.21</v>
      </c>
      <c r="G24" s="12">
        <v>19</v>
      </c>
      <c r="H24" s="8">
        <v>3.45</v>
      </c>
      <c r="I24" s="12">
        <v>0</v>
      </c>
    </row>
    <row r="25" spans="2:9" ht="15" customHeight="1" x14ac:dyDescent="0.2">
      <c r="B25" t="s">
        <v>112</v>
      </c>
      <c r="C25" s="12">
        <v>160</v>
      </c>
      <c r="D25" s="8">
        <v>8.9</v>
      </c>
      <c r="E25" s="12">
        <v>150</v>
      </c>
      <c r="F25" s="8">
        <v>12.39</v>
      </c>
      <c r="G25" s="12">
        <v>10</v>
      </c>
      <c r="H25" s="8">
        <v>1.82</v>
      </c>
      <c r="I25" s="12">
        <v>0</v>
      </c>
    </row>
    <row r="26" spans="2:9" ht="15" customHeight="1" x14ac:dyDescent="0.2">
      <c r="B26" t="s">
        <v>98</v>
      </c>
      <c r="C26" s="12">
        <v>152</v>
      </c>
      <c r="D26" s="8">
        <v>8.4499999999999993</v>
      </c>
      <c r="E26" s="12">
        <v>88</v>
      </c>
      <c r="F26" s="8">
        <v>7.27</v>
      </c>
      <c r="G26" s="12">
        <v>64</v>
      </c>
      <c r="H26" s="8">
        <v>11.64</v>
      </c>
      <c r="I26" s="12">
        <v>0</v>
      </c>
    </row>
    <row r="27" spans="2:9" ht="15" customHeight="1" x14ac:dyDescent="0.2">
      <c r="B27" t="s">
        <v>107</v>
      </c>
      <c r="C27" s="12">
        <v>139</v>
      </c>
      <c r="D27" s="8">
        <v>7.73</v>
      </c>
      <c r="E27" s="12">
        <v>93</v>
      </c>
      <c r="F27" s="8">
        <v>7.68</v>
      </c>
      <c r="G27" s="12">
        <v>46</v>
      </c>
      <c r="H27" s="8">
        <v>8.36</v>
      </c>
      <c r="I27" s="12">
        <v>0</v>
      </c>
    </row>
    <row r="28" spans="2:9" ht="15" customHeight="1" x14ac:dyDescent="0.2">
      <c r="B28" t="s">
        <v>105</v>
      </c>
      <c r="C28" s="12">
        <v>132</v>
      </c>
      <c r="D28" s="8">
        <v>7.34</v>
      </c>
      <c r="E28" s="12">
        <v>99</v>
      </c>
      <c r="F28" s="8">
        <v>8.18</v>
      </c>
      <c r="G28" s="12">
        <v>33</v>
      </c>
      <c r="H28" s="8">
        <v>6</v>
      </c>
      <c r="I28" s="12">
        <v>0</v>
      </c>
    </row>
    <row r="29" spans="2:9" ht="15" customHeight="1" x14ac:dyDescent="0.2">
      <c r="B29" t="s">
        <v>99</v>
      </c>
      <c r="C29" s="12">
        <v>103</v>
      </c>
      <c r="D29" s="8">
        <v>5.73</v>
      </c>
      <c r="E29" s="12">
        <v>84</v>
      </c>
      <c r="F29" s="8">
        <v>6.94</v>
      </c>
      <c r="G29" s="12">
        <v>19</v>
      </c>
      <c r="H29" s="8">
        <v>3.45</v>
      </c>
      <c r="I29" s="12">
        <v>0</v>
      </c>
    </row>
    <row r="30" spans="2:9" ht="15" customHeight="1" x14ac:dyDescent="0.2">
      <c r="B30" t="s">
        <v>123</v>
      </c>
      <c r="C30" s="12">
        <v>70</v>
      </c>
      <c r="D30" s="8">
        <v>3.89</v>
      </c>
      <c r="E30" s="12">
        <v>63</v>
      </c>
      <c r="F30" s="8">
        <v>5.2</v>
      </c>
      <c r="G30" s="12">
        <v>7</v>
      </c>
      <c r="H30" s="8">
        <v>1.27</v>
      </c>
      <c r="I30" s="12">
        <v>0</v>
      </c>
    </row>
    <row r="31" spans="2:9" ht="15" customHeight="1" x14ac:dyDescent="0.2">
      <c r="B31" t="s">
        <v>133</v>
      </c>
      <c r="C31" s="12">
        <v>63</v>
      </c>
      <c r="D31" s="8">
        <v>3.5</v>
      </c>
      <c r="E31" s="12">
        <v>33</v>
      </c>
      <c r="F31" s="8">
        <v>2.73</v>
      </c>
      <c r="G31" s="12">
        <v>19</v>
      </c>
      <c r="H31" s="8">
        <v>3.45</v>
      </c>
      <c r="I31" s="12">
        <v>11</v>
      </c>
    </row>
    <row r="32" spans="2:9" ht="15" customHeight="1" x14ac:dyDescent="0.2">
      <c r="B32" t="s">
        <v>100</v>
      </c>
      <c r="C32" s="12">
        <v>58</v>
      </c>
      <c r="D32" s="8">
        <v>3.23</v>
      </c>
      <c r="E32" s="12">
        <v>32</v>
      </c>
      <c r="F32" s="8">
        <v>2.64</v>
      </c>
      <c r="G32" s="12">
        <v>26</v>
      </c>
      <c r="H32" s="8">
        <v>4.7300000000000004</v>
      </c>
      <c r="I32" s="12">
        <v>0</v>
      </c>
    </row>
    <row r="33" spans="2:9" ht="15" customHeight="1" x14ac:dyDescent="0.2">
      <c r="B33" t="s">
        <v>106</v>
      </c>
      <c r="C33" s="12">
        <v>56</v>
      </c>
      <c r="D33" s="8">
        <v>3.11</v>
      </c>
      <c r="E33" s="12">
        <v>40</v>
      </c>
      <c r="F33" s="8">
        <v>3.3</v>
      </c>
      <c r="G33" s="12">
        <v>16</v>
      </c>
      <c r="H33" s="8">
        <v>2.91</v>
      </c>
      <c r="I33" s="12">
        <v>0</v>
      </c>
    </row>
    <row r="34" spans="2:9" ht="15" customHeight="1" x14ac:dyDescent="0.2">
      <c r="B34" t="s">
        <v>109</v>
      </c>
      <c r="C34" s="12">
        <v>49</v>
      </c>
      <c r="D34" s="8">
        <v>2.73</v>
      </c>
      <c r="E34" s="12">
        <v>19</v>
      </c>
      <c r="F34" s="8">
        <v>1.57</v>
      </c>
      <c r="G34" s="12">
        <v>30</v>
      </c>
      <c r="H34" s="8">
        <v>5.45</v>
      </c>
      <c r="I34" s="12">
        <v>0</v>
      </c>
    </row>
    <row r="35" spans="2:9" ht="15" customHeight="1" x14ac:dyDescent="0.2">
      <c r="B35" t="s">
        <v>115</v>
      </c>
      <c r="C35" s="12">
        <v>49</v>
      </c>
      <c r="D35" s="8">
        <v>2.73</v>
      </c>
      <c r="E35" s="12">
        <v>48</v>
      </c>
      <c r="F35" s="8">
        <v>3.96</v>
      </c>
      <c r="G35" s="12">
        <v>1</v>
      </c>
      <c r="H35" s="8">
        <v>0.18</v>
      </c>
      <c r="I35" s="12">
        <v>0</v>
      </c>
    </row>
    <row r="36" spans="2:9" ht="15" customHeight="1" x14ac:dyDescent="0.2">
      <c r="B36" t="s">
        <v>104</v>
      </c>
      <c r="C36" s="12">
        <v>48</v>
      </c>
      <c r="D36" s="8">
        <v>2.67</v>
      </c>
      <c r="E36" s="12">
        <v>35</v>
      </c>
      <c r="F36" s="8">
        <v>2.89</v>
      </c>
      <c r="G36" s="12">
        <v>13</v>
      </c>
      <c r="H36" s="8">
        <v>2.36</v>
      </c>
      <c r="I36" s="12">
        <v>0</v>
      </c>
    </row>
    <row r="37" spans="2:9" ht="15" customHeight="1" x14ac:dyDescent="0.2">
      <c r="B37" t="s">
        <v>130</v>
      </c>
      <c r="C37" s="12">
        <v>45</v>
      </c>
      <c r="D37" s="8">
        <v>2.5</v>
      </c>
      <c r="E37" s="12">
        <v>18</v>
      </c>
      <c r="F37" s="8">
        <v>1.49</v>
      </c>
      <c r="G37" s="12">
        <v>25</v>
      </c>
      <c r="H37" s="8">
        <v>4.55</v>
      </c>
      <c r="I37" s="12">
        <v>2</v>
      </c>
    </row>
    <row r="38" spans="2:9" ht="15" customHeight="1" x14ac:dyDescent="0.2">
      <c r="B38" t="s">
        <v>114</v>
      </c>
      <c r="C38" s="12">
        <v>41</v>
      </c>
      <c r="D38" s="8">
        <v>2.2799999999999998</v>
      </c>
      <c r="E38" s="12">
        <v>21</v>
      </c>
      <c r="F38" s="8">
        <v>1.73</v>
      </c>
      <c r="G38" s="12">
        <v>6</v>
      </c>
      <c r="H38" s="8">
        <v>1.0900000000000001</v>
      </c>
      <c r="I38" s="12">
        <v>0</v>
      </c>
    </row>
    <row r="39" spans="2:9" ht="15" customHeight="1" x14ac:dyDescent="0.2">
      <c r="B39" t="s">
        <v>132</v>
      </c>
      <c r="C39" s="12">
        <v>36</v>
      </c>
      <c r="D39" s="8">
        <v>2</v>
      </c>
      <c r="E39" s="12">
        <v>29</v>
      </c>
      <c r="F39" s="8">
        <v>2.39</v>
      </c>
      <c r="G39" s="12">
        <v>7</v>
      </c>
      <c r="H39" s="8">
        <v>1.27</v>
      </c>
      <c r="I39" s="12">
        <v>0</v>
      </c>
    </row>
    <row r="40" spans="2:9" ht="15" customHeight="1" x14ac:dyDescent="0.2">
      <c r="B40" t="s">
        <v>111</v>
      </c>
      <c r="C40" s="12">
        <v>36</v>
      </c>
      <c r="D40" s="8">
        <v>2</v>
      </c>
      <c r="E40" s="12">
        <v>19</v>
      </c>
      <c r="F40" s="8">
        <v>1.57</v>
      </c>
      <c r="G40" s="12">
        <v>17</v>
      </c>
      <c r="H40" s="8">
        <v>3.09</v>
      </c>
      <c r="I40" s="12">
        <v>0</v>
      </c>
    </row>
    <row r="41" spans="2:9" ht="15" customHeight="1" x14ac:dyDescent="0.2">
      <c r="B41" t="s">
        <v>110</v>
      </c>
      <c r="C41" s="12">
        <v>35</v>
      </c>
      <c r="D41" s="8">
        <v>1.95</v>
      </c>
      <c r="E41" s="12">
        <v>22</v>
      </c>
      <c r="F41" s="8">
        <v>1.82</v>
      </c>
      <c r="G41" s="12">
        <v>13</v>
      </c>
      <c r="H41" s="8">
        <v>2.36</v>
      </c>
      <c r="I41" s="12">
        <v>0</v>
      </c>
    </row>
    <row r="42" spans="2:9" ht="15" customHeight="1" x14ac:dyDescent="0.2">
      <c r="B42" t="s">
        <v>124</v>
      </c>
      <c r="C42" s="12">
        <v>33</v>
      </c>
      <c r="D42" s="8">
        <v>1.84</v>
      </c>
      <c r="E42" s="12">
        <v>22</v>
      </c>
      <c r="F42" s="8">
        <v>1.82</v>
      </c>
      <c r="G42" s="12">
        <v>11</v>
      </c>
      <c r="H42" s="8">
        <v>2</v>
      </c>
      <c r="I42" s="12">
        <v>0</v>
      </c>
    </row>
    <row r="43" spans="2:9" ht="15" customHeight="1" x14ac:dyDescent="0.2">
      <c r="B43" t="s">
        <v>131</v>
      </c>
      <c r="C43" s="12">
        <v>29</v>
      </c>
      <c r="D43" s="8">
        <v>1.61</v>
      </c>
      <c r="E43" s="12">
        <v>22</v>
      </c>
      <c r="F43" s="8">
        <v>1.82</v>
      </c>
      <c r="G43" s="12">
        <v>7</v>
      </c>
      <c r="H43" s="8">
        <v>1.27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170</v>
      </c>
      <c r="C47" s="12">
        <v>92</v>
      </c>
      <c r="D47" s="8">
        <v>5.12</v>
      </c>
      <c r="E47" s="12">
        <v>86</v>
      </c>
      <c r="F47" s="8">
        <v>7.1</v>
      </c>
      <c r="G47" s="12">
        <v>6</v>
      </c>
      <c r="H47" s="8">
        <v>1.0900000000000001</v>
      </c>
      <c r="I47" s="12">
        <v>0</v>
      </c>
    </row>
    <row r="48" spans="2:9" ht="15" customHeight="1" x14ac:dyDescent="0.2">
      <c r="B48" t="s">
        <v>173</v>
      </c>
      <c r="C48" s="12">
        <v>70</v>
      </c>
      <c r="D48" s="8">
        <v>3.89</v>
      </c>
      <c r="E48" s="12">
        <v>63</v>
      </c>
      <c r="F48" s="8">
        <v>5.2</v>
      </c>
      <c r="G48" s="12">
        <v>7</v>
      </c>
      <c r="H48" s="8">
        <v>1.27</v>
      </c>
      <c r="I48" s="12">
        <v>0</v>
      </c>
    </row>
    <row r="49" spans="2:9" ht="15" customHeight="1" x14ac:dyDescent="0.2">
      <c r="B49" t="s">
        <v>186</v>
      </c>
      <c r="C49" s="12">
        <v>60</v>
      </c>
      <c r="D49" s="8">
        <v>3.34</v>
      </c>
      <c r="E49" s="12">
        <v>49</v>
      </c>
      <c r="F49" s="8">
        <v>4.05</v>
      </c>
      <c r="G49" s="12">
        <v>11</v>
      </c>
      <c r="H49" s="8">
        <v>2</v>
      </c>
      <c r="I49" s="12">
        <v>0</v>
      </c>
    </row>
    <row r="50" spans="2:9" ht="15" customHeight="1" x14ac:dyDescent="0.2">
      <c r="B50" t="s">
        <v>167</v>
      </c>
      <c r="C50" s="12">
        <v>55</v>
      </c>
      <c r="D50" s="8">
        <v>3.06</v>
      </c>
      <c r="E50" s="12">
        <v>52</v>
      </c>
      <c r="F50" s="8">
        <v>4.29</v>
      </c>
      <c r="G50" s="12">
        <v>3</v>
      </c>
      <c r="H50" s="8">
        <v>0.55000000000000004</v>
      </c>
      <c r="I50" s="12">
        <v>0</v>
      </c>
    </row>
    <row r="51" spans="2:9" ht="15" customHeight="1" x14ac:dyDescent="0.2">
      <c r="B51" t="s">
        <v>211</v>
      </c>
      <c r="C51" s="12">
        <v>53</v>
      </c>
      <c r="D51" s="8">
        <v>2.95</v>
      </c>
      <c r="E51" s="12">
        <v>32</v>
      </c>
      <c r="F51" s="8">
        <v>2.64</v>
      </c>
      <c r="G51" s="12">
        <v>10</v>
      </c>
      <c r="H51" s="8">
        <v>1.82</v>
      </c>
      <c r="I51" s="12">
        <v>11</v>
      </c>
    </row>
    <row r="52" spans="2:9" ht="15" customHeight="1" x14ac:dyDescent="0.2">
      <c r="B52" t="s">
        <v>169</v>
      </c>
      <c r="C52" s="12">
        <v>52</v>
      </c>
      <c r="D52" s="8">
        <v>2.89</v>
      </c>
      <c r="E52" s="12">
        <v>52</v>
      </c>
      <c r="F52" s="8">
        <v>4.29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158</v>
      </c>
      <c r="C53" s="12">
        <v>51</v>
      </c>
      <c r="D53" s="8">
        <v>2.84</v>
      </c>
      <c r="E53" s="12">
        <v>39</v>
      </c>
      <c r="F53" s="8">
        <v>3.22</v>
      </c>
      <c r="G53" s="12">
        <v>12</v>
      </c>
      <c r="H53" s="8">
        <v>2.1800000000000002</v>
      </c>
      <c r="I53" s="12">
        <v>0</v>
      </c>
    </row>
    <row r="54" spans="2:9" ht="15" customHeight="1" x14ac:dyDescent="0.2">
      <c r="B54" t="s">
        <v>154</v>
      </c>
      <c r="C54" s="12">
        <v>44</v>
      </c>
      <c r="D54" s="8">
        <v>2.4500000000000002</v>
      </c>
      <c r="E54" s="12">
        <v>14</v>
      </c>
      <c r="F54" s="8">
        <v>1.1599999999999999</v>
      </c>
      <c r="G54" s="12">
        <v>30</v>
      </c>
      <c r="H54" s="8">
        <v>5.45</v>
      </c>
      <c r="I54" s="12">
        <v>0</v>
      </c>
    </row>
    <row r="55" spans="2:9" ht="15" customHeight="1" x14ac:dyDescent="0.2">
      <c r="B55" t="s">
        <v>159</v>
      </c>
      <c r="C55" s="12">
        <v>37</v>
      </c>
      <c r="D55" s="8">
        <v>2.06</v>
      </c>
      <c r="E55" s="12">
        <v>26</v>
      </c>
      <c r="F55" s="8">
        <v>2.15</v>
      </c>
      <c r="G55" s="12">
        <v>11</v>
      </c>
      <c r="H55" s="8">
        <v>2</v>
      </c>
      <c r="I55" s="12">
        <v>0</v>
      </c>
    </row>
    <row r="56" spans="2:9" ht="15" customHeight="1" x14ac:dyDescent="0.2">
      <c r="B56" t="s">
        <v>168</v>
      </c>
      <c r="C56" s="12">
        <v>37</v>
      </c>
      <c r="D56" s="8">
        <v>2.06</v>
      </c>
      <c r="E56" s="12">
        <v>36</v>
      </c>
      <c r="F56" s="8">
        <v>2.97</v>
      </c>
      <c r="G56" s="12">
        <v>1</v>
      </c>
      <c r="H56" s="8">
        <v>0.18</v>
      </c>
      <c r="I56" s="12">
        <v>0</v>
      </c>
    </row>
    <row r="57" spans="2:9" ht="15" customHeight="1" x14ac:dyDescent="0.2">
      <c r="B57" t="s">
        <v>155</v>
      </c>
      <c r="C57" s="12">
        <v>35</v>
      </c>
      <c r="D57" s="8">
        <v>1.95</v>
      </c>
      <c r="E57" s="12">
        <v>19</v>
      </c>
      <c r="F57" s="8">
        <v>1.57</v>
      </c>
      <c r="G57" s="12">
        <v>16</v>
      </c>
      <c r="H57" s="8">
        <v>2.91</v>
      </c>
      <c r="I57" s="12">
        <v>0</v>
      </c>
    </row>
    <row r="58" spans="2:9" ht="15" customHeight="1" x14ac:dyDescent="0.2">
      <c r="B58" t="s">
        <v>156</v>
      </c>
      <c r="C58" s="12">
        <v>35</v>
      </c>
      <c r="D58" s="8">
        <v>1.95</v>
      </c>
      <c r="E58" s="12">
        <v>20</v>
      </c>
      <c r="F58" s="8">
        <v>1.65</v>
      </c>
      <c r="G58" s="12">
        <v>15</v>
      </c>
      <c r="H58" s="8">
        <v>2.73</v>
      </c>
      <c r="I58" s="12">
        <v>0</v>
      </c>
    </row>
    <row r="59" spans="2:9" ht="15" customHeight="1" x14ac:dyDescent="0.2">
      <c r="B59" t="s">
        <v>172</v>
      </c>
      <c r="C59" s="12">
        <v>34</v>
      </c>
      <c r="D59" s="8">
        <v>1.89</v>
      </c>
      <c r="E59" s="12">
        <v>34</v>
      </c>
      <c r="F59" s="8">
        <v>2.81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181</v>
      </c>
      <c r="C60" s="12">
        <v>32</v>
      </c>
      <c r="D60" s="8">
        <v>1.78</v>
      </c>
      <c r="E60" s="12">
        <v>26</v>
      </c>
      <c r="F60" s="8">
        <v>2.15</v>
      </c>
      <c r="G60" s="12">
        <v>6</v>
      </c>
      <c r="H60" s="8">
        <v>1.0900000000000001</v>
      </c>
      <c r="I60" s="12">
        <v>0</v>
      </c>
    </row>
    <row r="61" spans="2:9" ht="15" customHeight="1" x14ac:dyDescent="0.2">
      <c r="B61" t="s">
        <v>166</v>
      </c>
      <c r="C61" s="12">
        <v>31</v>
      </c>
      <c r="D61" s="8">
        <v>1.72</v>
      </c>
      <c r="E61" s="12">
        <v>30</v>
      </c>
      <c r="F61" s="8">
        <v>2.48</v>
      </c>
      <c r="G61" s="12">
        <v>1</v>
      </c>
      <c r="H61" s="8">
        <v>0.18</v>
      </c>
      <c r="I61" s="12">
        <v>0</v>
      </c>
    </row>
    <row r="62" spans="2:9" ht="15" customHeight="1" x14ac:dyDescent="0.2">
      <c r="B62" t="s">
        <v>164</v>
      </c>
      <c r="C62" s="12">
        <v>30</v>
      </c>
      <c r="D62" s="8">
        <v>1.67</v>
      </c>
      <c r="E62" s="12">
        <v>14</v>
      </c>
      <c r="F62" s="8">
        <v>1.1599999999999999</v>
      </c>
      <c r="G62" s="12">
        <v>16</v>
      </c>
      <c r="H62" s="8">
        <v>2.91</v>
      </c>
      <c r="I62" s="12">
        <v>0</v>
      </c>
    </row>
    <row r="63" spans="2:9" ht="15" customHeight="1" x14ac:dyDescent="0.2">
      <c r="B63" t="s">
        <v>160</v>
      </c>
      <c r="C63" s="12">
        <v>28</v>
      </c>
      <c r="D63" s="8">
        <v>1.56</v>
      </c>
      <c r="E63" s="12">
        <v>11</v>
      </c>
      <c r="F63" s="8">
        <v>0.91</v>
      </c>
      <c r="G63" s="12">
        <v>17</v>
      </c>
      <c r="H63" s="8">
        <v>3.09</v>
      </c>
      <c r="I63" s="12">
        <v>0</v>
      </c>
    </row>
    <row r="64" spans="2:9" ht="15" customHeight="1" x14ac:dyDescent="0.2">
      <c r="B64" t="s">
        <v>161</v>
      </c>
      <c r="C64" s="12">
        <v>28</v>
      </c>
      <c r="D64" s="8">
        <v>1.56</v>
      </c>
      <c r="E64" s="12">
        <v>22</v>
      </c>
      <c r="F64" s="8">
        <v>1.82</v>
      </c>
      <c r="G64" s="12">
        <v>6</v>
      </c>
      <c r="H64" s="8">
        <v>1.0900000000000001</v>
      </c>
      <c r="I64" s="12">
        <v>0</v>
      </c>
    </row>
    <row r="65" spans="2:9" ht="15" customHeight="1" x14ac:dyDescent="0.2">
      <c r="B65" t="s">
        <v>177</v>
      </c>
      <c r="C65" s="12">
        <v>22</v>
      </c>
      <c r="D65" s="8">
        <v>1.22</v>
      </c>
      <c r="E65" s="12">
        <v>13</v>
      </c>
      <c r="F65" s="8">
        <v>1.07</v>
      </c>
      <c r="G65" s="12">
        <v>9</v>
      </c>
      <c r="H65" s="8">
        <v>1.64</v>
      </c>
      <c r="I65" s="12">
        <v>0</v>
      </c>
    </row>
    <row r="66" spans="2:9" ht="15" customHeight="1" x14ac:dyDescent="0.2">
      <c r="B66" t="s">
        <v>212</v>
      </c>
      <c r="C66" s="12">
        <v>22</v>
      </c>
      <c r="D66" s="8">
        <v>1.22</v>
      </c>
      <c r="E66" s="12">
        <v>19</v>
      </c>
      <c r="F66" s="8">
        <v>1.57</v>
      </c>
      <c r="G66" s="12">
        <v>3</v>
      </c>
      <c r="H66" s="8">
        <v>0.55000000000000004</v>
      </c>
      <c r="I66" s="12">
        <v>0</v>
      </c>
    </row>
    <row r="67" spans="2:9" ht="15" customHeight="1" x14ac:dyDescent="0.2">
      <c r="B67" t="s">
        <v>165</v>
      </c>
      <c r="C67" s="12">
        <v>22</v>
      </c>
      <c r="D67" s="8">
        <v>1.22</v>
      </c>
      <c r="E67" s="12">
        <v>8</v>
      </c>
      <c r="F67" s="8">
        <v>0.66</v>
      </c>
      <c r="G67" s="12">
        <v>14</v>
      </c>
      <c r="H67" s="8">
        <v>2.5499999999999998</v>
      </c>
      <c r="I67" s="12">
        <v>0</v>
      </c>
    </row>
    <row r="69" spans="2:9" ht="15" customHeight="1" x14ac:dyDescent="0.2">
      <c r="B69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9DC9F-D804-42B1-90C2-A264947E7B5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312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122</v>
      </c>
      <c r="D6" s="8">
        <v>11.51</v>
      </c>
      <c r="E6" s="12">
        <v>57</v>
      </c>
      <c r="F6" s="8">
        <v>8.89</v>
      </c>
      <c r="G6" s="12">
        <v>65</v>
      </c>
      <c r="H6" s="8">
        <v>15.82</v>
      </c>
      <c r="I6" s="12">
        <v>0</v>
      </c>
    </row>
    <row r="7" spans="2:9" ht="15" customHeight="1" x14ac:dyDescent="0.2">
      <c r="B7" t="s">
        <v>77</v>
      </c>
      <c r="C7" s="12">
        <v>122</v>
      </c>
      <c r="D7" s="8">
        <v>11.51</v>
      </c>
      <c r="E7" s="12">
        <v>74</v>
      </c>
      <c r="F7" s="8">
        <v>11.54</v>
      </c>
      <c r="G7" s="12">
        <v>48</v>
      </c>
      <c r="H7" s="8">
        <v>11.68</v>
      </c>
      <c r="I7" s="12">
        <v>0</v>
      </c>
    </row>
    <row r="8" spans="2:9" ht="15" customHeight="1" x14ac:dyDescent="0.2">
      <c r="B8" t="s">
        <v>78</v>
      </c>
      <c r="C8" s="12">
        <v>3</v>
      </c>
      <c r="D8" s="8">
        <v>0.28000000000000003</v>
      </c>
      <c r="E8" s="12">
        <v>0</v>
      </c>
      <c r="F8" s="8">
        <v>0</v>
      </c>
      <c r="G8" s="12">
        <v>3</v>
      </c>
      <c r="H8" s="8">
        <v>0.73</v>
      </c>
      <c r="I8" s="12">
        <v>0</v>
      </c>
    </row>
    <row r="9" spans="2:9" ht="15" customHeight="1" x14ac:dyDescent="0.2">
      <c r="B9" t="s">
        <v>79</v>
      </c>
      <c r="C9" s="12">
        <v>2</v>
      </c>
      <c r="D9" s="8">
        <v>0.19</v>
      </c>
      <c r="E9" s="12">
        <v>0</v>
      </c>
      <c r="F9" s="8">
        <v>0</v>
      </c>
      <c r="G9" s="12">
        <v>2</v>
      </c>
      <c r="H9" s="8">
        <v>0.49</v>
      </c>
      <c r="I9" s="12">
        <v>0</v>
      </c>
    </row>
    <row r="10" spans="2:9" ht="15" customHeight="1" x14ac:dyDescent="0.2">
      <c r="B10" t="s">
        <v>80</v>
      </c>
      <c r="C10" s="12">
        <v>9</v>
      </c>
      <c r="D10" s="8">
        <v>0.85</v>
      </c>
      <c r="E10" s="12">
        <v>2</v>
      </c>
      <c r="F10" s="8">
        <v>0.31</v>
      </c>
      <c r="G10" s="12">
        <v>6</v>
      </c>
      <c r="H10" s="8">
        <v>1.46</v>
      </c>
      <c r="I10" s="12">
        <v>1</v>
      </c>
    </row>
    <row r="11" spans="2:9" ht="15" customHeight="1" x14ac:dyDescent="0.2">
      <c r="B11" t="s">
        <v>81</v>
      </c>
      <c r="C11" s="12">
        <v>282</v>
      </c>
      <c r="D11" s="8">
        <v>26.6</v>
      </c>
      <c r="E11" s="12">
        <v>156</v>
      </c>
      <c r="F11" s="8">
        <v>24.34</v>
      </c>
      <c r="G11" s="12">
        <v>125</v>
      </c>
      <c r="H11" s="8">
        <v>30.41</v>
      </c>
      <c r="I11" s="12">
        <v>1</v>
      </c>
    </row>
    <row r="12" spans="2:9" ht="15" customHeight="1" x14ac:dyDescent="0.2">
      <c r="B12" t="s">
        <v>82</v>
      </c>
      <c r="C12" s="12">
        <v>4</v>
      </c>
      <c r="D12" s="8">
        <v>0.38</v>
      </c>
      <c r="E12" s="12">
        <v>1</v>
      </c>
      <c r="F12" s="8">
        <v>0.16</v>
      </c>
      <c r="G12" s="12">
        <v>3</v>
      </c>
      <c r="H12" s="8">
        <v>0.73</v>
      </c>
      <c r="I12" s="12">
        <v>0</v>
      </c>
    </row>
    <row r="13" spans="2:9" ht="15" customHeight="1" x14ac:dyDescent="0.2">
      <c r="B13" t="s">
        <v>83</v>
      </c>
      <c r="C13" s="12">
        <v>74</v>
      </c>
      <c r="D13" s="8">
        <v>6.98</v>
      </c>
      <c r="E13" s="12">
        <v>19</v>
      </c>
      <c r="F13" s="8">
        <v>2.96</v>
      </c>
      <c r="G13" s="12">
        <v>54</v>
      </c>
      <c r="H13" s="8">
        <v>13.14</v>
      </c>
      <c r="I13" s="12">
        <v>0</v>
      </c>
    </row>
    <row r="14" spans="2:9" ht="15" customHeight="1" x14ac:dyDescent="0.2">
      <c r="B14" t="s">
        <v>84</v>
      </c>
      <c r="C14" s="12">
        <v>51</v>
      </c>
      <c r="D14" s="8">
        <v>4.8099999999999996</v>
      </c>
      <c r="E14" s="12">
        <v>26</v>
      </c>
      <c r="F14" s="8">
        <v>4.0599999999999996</v>
      </c>
      <c r="G14" s="12">
        <v>25</v>
      </c>
      <c r="H14" s="8">
        <v>6.08</v>
      </c>
      <c r="I14" s="12">
        <v>0</v>
      </c>
    </row>
    <row r="15" spans="2:9" ht="15" customHeight="1" x14ac:dyDescent="0.2">
      <c r="B15" t="s">
        <v>85</v>
      </c>
      <c r="C15" s="12">
        <v>111</v>
      </c>
      <c r="D15" s="8">
        <v>10.47</v>
      </c>
      <c r="E15" s="12">
        <v>91</v>
      </c>
      <c r="F15" s="8">
        <v>14.2</v>
      </c>
      <c r="G15" s="12">
        <v>20</v>
      </c>
      <c r="H15" s="8">
        <v>4.87</v>
      </c>
      <c r="I15" s="12">
        <v>0</v>
      </c>
    </row>
    <row r="16" spans="2:9" ht="15" customHeight="1" x14ac:dyDescent="0.2">
      <c r="B16" t="s">
        <v>86</v>
      </c>
      <c r="C16" s="12">
        <v>141</v>
      </c>
      <c r="D16" s="8">
        <v>13.3</v>
      </c>
      <c r="E16" s="12">
        <v>114</v>
      </c>
      <c r="F16" s="8">
        <v>17.78</v>
      </c>
      <c r="G16" s="12">
        <v>27</v>
      </c>
      <c r="H16" s="8">
        <v>6.57</v>
      </c>
      <c r="I16" s="12">
        <v>0</v>
      </c>
    </row>
    <row r="17" spans="2:9" ht="15" customHeight="1" x14ac:dyDescent="0.2">
      <c r="B17" t="s">
        <v>87</v>
      </c>
      <c r="C17" s="12">
        <v>42</v>
      </c>
      <c r="D17" s="8">
        <v>3.96</v>
      </c>
      <c r="E17" s="12">
        <v>34</v>
      </c>
      <c r="F17" s="8">
        <v>5.3</v>
      </c>
      <c r="G17" s="12">
        <v>6</v>
      </c>
      <c r="H17" s="8">
        <v>1.46</v>
      </c>
      <c r="I17" s="12">
        <v>1</v>
      </c>
    </row>
    <row r="18" spans="2:9" ht="15" customHeight="1" x14ac:dyDescent="0.2">
      <c r="B18" t="s">
        <v>88</v>
      </c>
      <c r="C18" s="12">
        <v>59</v>
      </c>
      <c r="D18" s="8">
        <v>5.57</v>
      </c>
      <c r="E18" s="12">
        <v>40</v>
      </c>
      <c r="F18" s="8">
        <v>6.24</v>
      </c>
      <c r="G18" s="12">
        <v>16</v>
      </c>
      <c r="H18" s="8">
        <v>3.89</v>
      </c>
      <c r="I18" s="12">
        <v>2</v>
      </c>
    </row>
    <row r="19" spans="2:9" ht="15" customHeight="1" x14ac:dyDescent="0.2">
      <c r="B19" t="s">
        <v>89</v>
      </c>
      <c r="C19" s="12">
        <v>38</v>
      </c>
      <c r="D19" s="8">
        <v>3.58</v>
      </c>
      <c r="E19" s="12">
        <v>27</v>
      </c>
      <c r="F19" s="8">
        <v>4.21</v>
      </c>
      <c r="G19" s="12">
        <v>11</v>
      </c>
      <c r="H19" s="8">
        <v>2.68</v>
      </c>
      <c r="I19" s="12">
        <v>0</v>
      </c>
    </row>
    <row r="20" spans="2:9" ht="15" customHeight="1" x14ac:dyDescent="0.2">
      <c r="B20" s="9" t="s">
        <v>285</v>
      </c>
      <c r="C20" s="12">
        <f>SUM(LTBL_40211[総数／事業所数])</f>
        <v>1060</v>
      </c>
      <c r="E20" s="12">
        <f>SUBTOTAL(109,LTBL_40211[個人／事業所数])</f>
        <v>641</v>
      </c>
      <c r="G20" s="12">
        <f>SUBTOTAL(109,LTBL_40211[法人／事業所数])</f>
        <v>411</v>
      </c>
      <c r="I20" s="12">
        <f>SUBTOTAL(109,LTBL_40211[法人以外の団体／事業所数])</f>
        <v>5</v>
      </c>
    </row>
    <row r="21" spans="2:9" ht="15" customHeight="1" x14ac:dyDescent="0.2">
      <c r="E21" s="11">
        <f>LTBL_40211[[#Totals],[個人／事業所数]]/LTBL_40211[[#Totals],[総数／事業所数]]</f>
        <v>0.6047169811320755</v>
      </c>
      <c r="G21" s="11">
        <f>LTBL_40211[[#Totals],[法人／事業所数]]/LTBL_40211[[#Totals],[総数／事業所数]]</f>
        <v>0.3877358490566038</v>
      </c>
      <c r="I21" s="11">
        <f>LTBL_40211[[#Totals],[法人以外の団体／事業所数]]/LTBL_40211[[#Totals],[総数／事業所数]]</f>
        <v>4.7169811320754715E-3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124</v>
      </c>
      <c r="D24" s="8">
        <v>11.7</v>
      </c>
      <c r="E24" s="12">
        <v>104</v>
      </c>
      <c r="F24" s="8">
        <v>16.22</v>
      </c>
      <c r="G24" s="12">
        <v>20</v>
      </c>
      <c r="H24" s="8">
        <v>4.87</v>
      </c>
      <c r="I24" s="12">
        <v>0</v>
      </c>
    </row>
    <row r="25" spans="2:9" ht="15" customHeight="1" x14ac:dyDescent="0.2">
      <c r="B25" t="s">
        <v>112</v>
      </c>
      <c r="C25" s="12">
        <v>96</v>
      </c>
      <c r="D25" s="8">
        <v>9.06</v>
      </c>
      <c r="E25" s="12">
        <v>86</v>
      </c>
      <c r="F25" s="8">
        <v>13.42</v>
      </c>
      <c r="G25" s="12">
        <v>10</v>
      </c>
      <c r="H25" s="8">
        <v>2.4300000000000002</v>
      </c>
      <c r="I25" s="12">
        <v>0</v>
      </c>
    </row>
    <row r="26" spans="2:9" ht="15" customHeight="1" x14ac:dyDescent="0.2">
      <c r="B26" t="s">
        <v>107</v>
      </c>
      <c r="C26" s="12">
        <v>73</v>
      </c>
      <c r="D26" s="8">
        <v>6.89</v>
      </c>
      <c r="E26" s="12">
        <v>40</v>
      </c>
      <c r="F26" s="8">
        <v>6.24</v>
      </c>
      <c r="G26" s="12">
        <v>32</v>
      </c>
      <c r="H26" s="8">
        <v>7.79</v>
      </c>
      <c r="I26" s="12">
        <v>1</v>
      </c>
    </row>
    <row r="27" spans="2:9" ht="15" customHeight="1" x14ac:dyDescent="0.2">
      <c r="B27" t="s">
        <v>105</v>
      </c>
      <c r="C27" s="12">
        <v>64</v>
      </c>
      <c r="D27" s="8">
        <v>6.04</v>
      </c>
      <c r="E27" s="12">
        <v>50</v>
      </c>
      <c r="F27" s="8">
        <v>7.8</v>
      </c>
      <c r="G27" s="12">
        <v>14</v>
      </c>
      <c r="H27" s="8">
        <v>3.41</v>
      </c>
      <c r="I27" s="12">
        <v>0</v>
      </c>
    </row>
    <row r="28" spans="2:9" ht="15" customHeight="1" x14ac:dyDescent="0.2">
      <c r="B28" t="s">
        <v>98</v>
      </c>
      <c r="C28" s="12">
        <v>48</v>
      </c>
      <c r="D28" s="8">
        <v>4.53</v>
      </c>
      <c r="E28" s="12">
        <v>15</v>
      </c>
      <c r="F28" s="8">
        <v>2.34</v>
      </c>
      <c r="G28" s="12">
        <v>33</v>
      </c>
      <c r="H28" s="8">
        <v>8.0299999999999994</v>
      </c>
      <c r="I28" s="12">
        <v>0</v>
      </c>
    </row>
    <row r="29" spans="2:9" ht="15" customHeight="1" x14ac:dyDescent="0.2">
      <c r="B29" t="s">
        <v>106</v>
      </c>
      <c r="C29" s="12">
        <v>47</v>
      </c>
      <c r="D29" s="8">
        <v>4.43</v>
      </c>
      <c r="E29" s="12">
        <v>37</v>
      </c>
      <c r="F29" s="8">
        <v>5.77</v>
      </c>
      <c r="G29" s="12">
        <v>10</v>
      </c>
      <c r="H29" s="8">
        <v>2.4300000000000002</v>
      </c>
      <c r="I29" s="12">
        <v>0</v>
      </c>
    </row>
    <row r="30" spans="2:9" ht="15" customHeight="1" x14ac:dyDescent="0.2">
      <c r="B30" t="s">
        <v>99</v>
      </c>
      <c r="C30" s="12">
        <v>44</v>
      </c>
      <c r="D30" s="8">
        <v>4.1500000000000004</v>
      </c>
      <c r="E30" s="12">
        <v>29</v>
      </c>
      <c r="F30" s="8">
        <v>4.5199999999999996</v>
      </c>
      <c r="G30" s="12">
        <v>15</v>
      </c>
      <c r="H30" s="8">
        <v>3.65</v>
      </c>
      <c r="I30" s="12">
        <v>0</v>
      </c>
    </row>
    <row r="31" spans="2:9" ht="15" customHeight="1" x14ac:dyDescent="0.2">
      <c r="B31" t="s">
        <v>115</v>
      </c>
      <c r="C31" s="12">
        <v>44</v>
      </c>
      <c r="D31" s="8">
        <v>4.1500000000000004</v>
      </c>
      <c r="E31" s="12">
        <v>40</v>
      </c>
      <c r="F31" s="8">
        <v>6.24</v>
      </c>
      <c r="G31" s="12">
        <v>4</v>
      </c>
      <c r="H31" s="8">
        <v>0.97</v>
      </c>
      <c r="I31" s="12">
        <v>0</v>
      </c>
    </row>
    <row r="32" spans="2:9" ht="15" customHeight="1" x14ac:dyDescent="0.2">
      <c r="B32" t="s">
        <v>114</v>
      </c>
      <c r="C32" s="12">
        <v>42</v>
      </c>
      <c r="D32" s="8">
        <v>3.96</v>
      </c>
      <c r="E32" s="12">
        <v>34</v>
      </c>
      <c r="F32" s="8">
        <v>5.3</v>
      </c>
      <c r="G32" s="12">
        <v>6</v>
      </c>
      <c r="H32" s="8">
        <v>1.46</v>
      </c>
      <c r="I32" s="12">
        <v>1</v>
      </c>
    </row>
    <row r="33" spans="2:9" ht="15" customHeight="1" x14ac:dyDescent="0.2">
      <c r="B33" t="s">
        <v>109</v>
      </c>
      <c r="C33" s="12">
        <v>39</v>
      </c>
      <c r="D33" s="8">
        <v>3.68</v>
      </c>
      <c r="E33" s="12">
        <v>6</v>
      </c>
      <c r="F33" s="8">
        <v>0.94</v>
      </c>
      <c r="G33" s="12">
        <v>32</v>
      </c>
      <c r="H33" s="8">
        <v>7.79</v>
      </c>
      <c r="I33" s="12">
        <v>0</v>
      </c>
    </row>
    <row r="34" spans="2:9" ht="15" customHeight="1" x14ac:dyDescent="0.2">
      <c r="B34" t="s">
        <v>100</v>
      </c>
      <c r="C34" s="12">
        <v>30</v>
      </c>
      <c r="D34" s="8">
        <v>2.83</v>
      </c>
      <c r="E34" s="12">
        <v>13</v>
      </c>
      <c r="F34" s="8">
        <v>2.0299999999999998</v>
      </c>
      <c r="G34" s="12">
        <v>17</v>
      </c>
      <c r="H34" s="8">
        <v>4.1399999999999997</v>
      </c>
      <c r="I34" s="12">
        <v>0</v>
      </c>
    </row>
    <row r="35" spans="2:9" ht="15" customHeight="1" x14ac:dyDescent="0.2">
      <c r="B35" t="s">
        <v>104</v>
      </c>
      <c r="C35" s="12">
        <v>28</v>
      </c>
      <c r="D35" s="8">
        <v>2.64</v>
      </c>
      <c r="E35" s="12">
        <v>15</v>
      </c>
      <c r="F35" s="8">
        <v>2.34</v>
      </c>
      <c r="G35" s="12">
        <v>13</v>
      </c>
      <c r="H35" s="8">
        <v>3.16</v>
      </c>
      <c r="I35" s="12">
        <v>0</v>
      </c>
    </row>
    <row r="36" spans="2:9" ht="15" customHeight="1" x14ac:dyDescent="0.2">
      <c r="B36" t="s">
        <v>111</v>
      </c>
      <c r="C36" s="12">
        <v>28</v>
      </c>
      <c r="D36" s="8">
        <v>2.64</v>
      </c>
      <c r="E36" s="12">
        <v>11</v>
      </c>
      <c r="F36" s="8">
        <v>1.72</v>
      </c>
      <c r="G36" s="12">
        <v>17</v>
      </c>
      <c r="H36" s="8">
        <v>4.1399999999999997</v>
      </c>
      <c r="I36" s="12">
        <v>0</v>
      </c>
    </row>
    <row r="37" spans="2:9" ht="15" customHeight="1" x14ac:dyDescent="0.2">
      <c r="B37" t="s">
        <v>108</v>
      </c>
      <c r="C37" s="12">
        <v>25</v>
      </c>
      <c r="D37" s="8">
        <v>2.36</v>
      </c>
      <c r="E37" s="12">
        <v>8</v>
      </c>
      <c r="F37" s="8">
        <v>1.25</v>
      </c>
      <c r="G37" s="12">
        <v>17</v>
      </c>
      <c r="H37" s="8">
        <v>4.1399999999999997</v>
      </c>
      <c r="I37" s="12">
        <v>0</v>
      </c>
    </row>
    <row r="38" spans="2:9" ht="15" customHeight="1" x14ac:dyDescent="0.2">
      <c r="B38" t="s">
        <v>110</v>
      </c>
      <c r="C38" s="12">
        <v>23</v>
      </c>
      <c r="D38" s="8">
        <v>2.17</v>
      </c>
      <c r="E38" s="12">
        <v>15</v>
      </c>
      <c r="F38" s="8">
        <v>2.34</v>
      </c>
      <c r="G38" s="12">
        <v>8</v>
      </c>
      <c r="H38" s="8">
        <v>1.95</v>
      </c>
      <c r="I38" s="12">
        <v>0</v>
      </c>
    </row>
    <row r="39" spans="2:9" ht="15" customHeight="1" x14ac:dyDescent="0.2">
      <c r="B39" t="s">
        <v>123</v>
      </c>
      <c r="C39" s="12">
        <v>22</v>
      </c>
      <c r="D39" s="8">
        <v>2.08</v>
      </c>
      <c r="E39" s="12">
        <v>21</v>
      </c>
      <c r="F39" s="8">
        <v>3.28</v>
      </c>
      <c r="G39" s="12">
        <v>1</v>
      </c>
      <c r="H39" s="8">
        <v>0.24</v>
      </c>
      <c r="I39" s="12">
        <v>0</v>
      </c>
    </row>
    <row r="40" spans="2:9" ht="15" customHeight="1" x14ac:dyDescent="0.2">
      <c r="B40" t="s">
        <v>134</v>
      </c>
      <c r="C40" s="12">
        <v>19</v>
      </c>
      <c r="D40" s="8">
        <v>1.79</v>
      </c>
      <c r="E40" s="12">
        <v>7</v>
      </c>
      <c r="F40" s="8">
        <v>1.0900000000000001</v>
      </c>
      <c r="G40" s="12">
        <v>12</v>
      </c>
      <c r="H40" s="8">
        <v>2.92</v>
      </c>
      <c r="I40" s="12">
        <v>0</v>
      </c>
    </row>
    <row r="41" spans="2:9" ht="15" customHeight="1" x14ac:dyDescent="0.2">
      <c r="B41" t="s">
        <v>103</v>
      </c>
      <c r="C41" s="12">
        <v>17</v>
      </c>
      <c r="D41" s="8">
        <v>1.6</v>
      </c>
      <c r="E41" s="12">
        <v>2</v>
      </c>
      <c r="F41" s="8">
        <v>0.31</v>
      </c>
      <c r="G41" s="12">
        <v>15</v>
      </c>
      <c r="H41" s="8">
        <v>3.65</v>
      </c>
      <c r="I41" s="12">
        <v>0</v>
      </c>
    </row>
    <row r="42" spans="2:9" ht="15" customHeight="1" x14ac:dyDescent="0.2">
      <c r="B42" t="s">
        <v>130</v>
      </c>
      <c r="C42" s="12">
        <v>15</v>
      </c>
      <c r="D42" s="8">
        <v>1.42</v>
      </c>
      <c r="E42" s="12">
        <v>8</v>
      </c>
      <c r="F42" s="8">
        <v>1.25</v>
      </c>
      <c r="G42" s="12">
        <v>7</v>
      </c>
      <c r="H42" s="8">
        <v>1.7</v>
      </c>
      <c r="I42" s="12">
        <v>0</v>
      </c>
    </row>
    <row r="43" spans="2:9" ht="15" customHeight="1" x14ac:dyDescent="0.2">
      <c r="B43" t="s">
        <v>116</v>
      </c>
      <c r="C43" s="12">
        <v>15</v>
      </c>
      <c r="D43" s="8">
        <v>1.42</v>
      </c>
      <c r="E43" s="12">
        <v>0</v>
      </c>
      <c r="F43" s="8">
        <v>0</v>
      </c>
      <c r="G43" s="12">
        <v>12</v>
      </c>
      <c r="H43" s="8">
        <v>2.92</v>
      </c>
      <c r="I43" s="12">
        <v>2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170</v>
      </c>
      <c r="C47" s="12">
        <v>67</v>
      </c>
      <c r="D47" s="8">
        <v>6.32</v>
      </c>
      <c r="E47" s="12">
        <v>59</v>
      </c>
      <c r="F47" s="8">
        <v>9.1999999999999993</v>
      </c>
      <c r="G47" s="12">
        <v>8</v>
      </c>
      <c r="H47" s="8">
        <v>1.95</v>
      </c>
      <c r="I47" s="12">
        <v>0</v>
      </c>
    </row>
    <row r="48" spans="2:9" ht="15" customHeight="1" x14ac:dyDescent="0.2">
      <c r="B48" t="s">
        <v>169</v>
      </c>
      <c r="C48" s="12">
        <v>38</v>
      </c>
      <c r="D48" s="8">
        <v>3.58</v>
      </c>
      <c r="E48" s="12">
        <v>36</v>
      </c>
      <c r="F48" s="8">
        <v>5.62</v>
      </c>
      <c r="G48" s="12">
        <v>2</v>
      </c>
      <c r="H48" s="8">
        <v>0.49</v>
      </c>
      <c r="I48" s="12">
        <v>0</v>
      </c>
    </row>
    <row r="49" spans="2:9" ht="15" customHeight="1" x14ac:dyDescent="0.2">
      <c r="B49" t="s">
        <v>166</v>
      </c>
      <c r="C49" s="12">
        <v>31</v>
      </c>
      <c r="D49" s="8">
        <v>2.92</v>
      </c>
      <c r="E49" s="12">
        <v>27</v>
      </c>
      <c r="F49" s="8">
        <v>4.21</v>
      </c>
      <c r="G49" s="12">
        <v>4</v>
      </c>
      <c r="H49" s="8">
        <v>0.97</v>
      </c>
      <c r="I49" s="12">
        <v>0</v>
      </c>
    </row>
    <row r="50" spans="2:9" ht="15" customHeight="1" x14ac:dyDescent="0.2">
      <c r="B50" t="s">
        <v>172</v>
      </c>
      <c r="C50" s="12">
        <v>30</v>
      </c>
      <c r="D50" s="8">
        <v>2.83</v>
      </c>
      <c r="E50" s="12">
        <v>27</v>
      </c>
      <c r="F50" s="8">
        <v>4.21</v>
      </c>
      <c r="G50" s="12">
        <v>3</v>
      </c>
      <c r="H50" s="8">
        <v>0.73</v>
      </c>
      <c r="I50" s="12">
        <v>0</v>
      </c>
    </row>
    <row r="51" spans="2:9" ht="15" customHeight="1" x14ac:dyDescent="0.2">
      <c r="B51" t="s">
        <v>159</v>
      </c>
      <c r="C51" s="12">
        <v>29</v>
      </c>
      <c r="D51" s="8">
        <v>2.74</v>
      </c>
      <c r="E51" s="12">
        <v>25</v>
      </c>
      <c r="F51" s="8">
        <v>3.9</v>
      </c>
      <c r="G51" s="12">
        <v>4</v>
      </c>
      <c r="H51" s="8">
        <v>0.97</v>
      </c>
      <c r="I51" s="12">
        <v>0</v>
      </c>
    </row>
    <row r="52" spans="2:9" ht="15" customHeight="1" x14ac:dyDescent="0.2">
      <c r="B52" t="s">
        <v>158</v>
      </c>
      <c r="C52" s="12">
        <v>26</v>
      </c>
      <c r="D52" s="8">
        <v>2.4500000000000002</v>
      </c>
      <c r="E52" s="12">
        <v>17</v>
      </c>
      <c r="F52" s="8">
        <v>2.65</v>
      </c>
      <c r="G52" s="12">
        <v>9</v>
      </c>
      <c r="H52" s="8">
        <v>2.19</v>
      </c>
      <c r="I52" s="12">
        <v>0</v>
      </c>
    </row>
    <row r="53" spans="2:9" ht="15" customHeight="1" x14ac:dyDescent="0.2">
      <c r="B53" t="s">
        <v>171</v>
      </c>
      <c r="C53" s="12">
        <v>26</v>
      </c>
      <c r="D53" s="8">
        <v>2.4500000000000002</v>
      </c>
      <c r="E53" s="12">
        <v>24</v>
      </c>
      <c r="F53" s="8">
        <v>3.74</v>
      </c>
      <c r="G53" s="12">
        <v>2</v>
      </c>
      <c r="H53" s="8">
        <v>0.49</v>
      </c>
      <c r="I53" s="12">
        <v>0</v>
      </c>
    </row>
    <row r="54" spans="2:9" ht="15" customHeight="1" x14ac:dyDescent="0.2">
      <c r="B54" t="s">
        <v>160</v>
      </c>
      <c r="C54" s="12">
        <v>23</v>
      </c>
      <c r="D54" s="8">
        <v>2.17</v>
      </c>
      <c r="E54" s="12">
        <v>11</v>
      </c>
      <c r="F54" s="8">
        <v>1.72</v>
      </c>
      <c r="G54" s="12">
        <v>12</v>
      </c>
      <c r="H54" s="8">
        <v>2.92</v>
      </c>
      <c r="I54" s="12">
        <v>0</v>
      </c>
    </row>
    <row r="55" spans="2:9" ht="15" customHeight="1" x14ac:dyDescent="0.2">
      <c r="B55" t="s">
        <v>164</v>
      </c>
      <c r="C55" s="12">
        <v>23</v>
      </c>
      <c r="D55" s="8">
        <v>2.17</v>
      </c>
      <c r="E55" s="12">
        <v>4</v>
      </c>
      <c r="F55" s="8">
        <v>0.62</v>
      </c>
      <c r="G55" s="12">
        <v>18</v>
      </c>
      <c r="H55" s="8">
        <v>4.38</v>
      </c>
      <c r="I55" s="12">
        <v>0</v>
      </c>
    </row>
    <row r="56" spans="2:9" ht="15" customHeight="1" x14ac:dyDescent="0.2">
      <c r="B56" t="s">
        <v>165</v>
      </c>
      <c r="C56" s="12">
        <v>22</v>
      </c>
      <c r="D56" s="8">
        <v>2.08</v>
      </c>
      <c r="E56" s="12">
        <v>8</v>
      </c>
      <c r="F56" s="8">
        <v>1.25</v>
      </c>
      <c r="G56" s="12">
        <v>14</v>
      </c>
      <c r="H56" s="8">
        <v>3.41</v>
      </c>
      <c r="I56" s="12">
        <v>0</v>
      </c>
    </row>
    <row r="57" spans="2:9" ht="15" customHeight="1" x14ac:dyDescent="0.2">
      <c r="B57" t="s">
        <v>173</v>
      </c>
      <c r="C57" s="12">
        <v>22</v>
      </c>
      <c r="D57" s="8">
        <v>2.08</v>
      </c>
      <c r="E57" s="12">
        <v>21</v>
      </c>
      <c r="F57" s="8">
        <v>3.28</v>
      </c>
      <c r="G57" s="12">
        <v>1</v>
      </c>
      <c r="H57" s="8">
        <v>0.24</v>
      </c>
      <c r="I57" s="12">
        <v>0</v>
      </c>
    </row>
    <row r="58" spans="2:9" ht="15" customHeight="1" x14ac:dyDescent="0.2">
      <c r="B58" t="s">
        <v>167</v>
      </c>
      <c r="C58" s="12">
        <v>21</v>
      </c>
      <c r="D58" s="8">
        <v>1.98</v>
      </c>
      <c r="E58" s="12">
        <v>20</v>
      </c>
      <c r="F58" s="8">
        <v>3.12</v>
      </c>
      <c r="G58" s="12">
        <v>1</v>
      </c>
      <c r="H58" s="8">
        <v>0.24</v>
      </c>
      <c r="I58" s="12">
        <v>0</v>
      </c>
    </row>
    <row r="59" spans="2:9" ht="15" customHeight="1" x14ac:dyDescent="0.2">
      <c r="B59" t="s">
        <v>168</v>
      </c>
      <c r="C59" s="12">
        <v>20</v>
      </c>
      <c r="D59" s="8">
        <v>1.89</v>
      </c>
      <c r="E59" s="12">
        <v>20</v>
      </c>
      <c r="F59" s="8">
        <v>3.12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154</v>
      </c>
      <c r="C60" s="12">
        <v>17</v>
      </c>
      <c r="D60" s="8">
        <v>1.6</v>
      </c>
      <c r="E60" s="12">
        <v>1</v>
      </c>
      <c r="F60" s="8">
        <v>0.16</v>
      </c>
      <c r="G60" s="12">
        <v>16</v>
      </c>
      <c r="H60" s="8">
        <v>3.89</v>
      </c>
      <c r="I60" s="12">
        <v>0</v>
      </c>
    </row>
    <row r="61" spans="2:9" ht="15" customHeight="1" x14ac:dyDescent="0.2">
      <c r="B61" t="s">
        <v>156</v>
      </c>
      <c r="C61" s="12">
        <v>16</v>
      </c>
      <c r="D61" s="8">
        <v>1.51</v>
      </c>
      <c r="E61" s="12">
        <v>7</v>
      </c>
      <c r="F61" s="8">
        <v>1.0900000000000001</v>
      </c>
      <c r="G61" s="12">
        <v>9</v>
      </c>
      <c r="H61" s="8">
        <v>2.19</v>
      </c>
      <c r="I61" s="12">
        <v>0</v>
      </c>
    </row>
    <row r="62" spans="2:9" ht="15" customHeight="1" x14ac:dyDescent="0.2">
      <c r="B62" t="s">
        <v>177</v>
      </c>
      <c r="C62" s="12">
        <v>16</v>
      </c>
      <c r="D62" s="8">
        <v>1.51</v>
      </c>
      <c r="E62" s="12">
        <v>11</v>
      </c>
      <c r="F62" s="8">
        <v>1.72</v>
      </c>
      <c r="G62" s="12">
        <v>5</v>
      </c>
      <c r="H62" s="8">
        <v>1.22</v>
      </c>
      <c r="I62" s="12">
        <v>0</v>
      </c>
    </row>
    <row r="63" spans="2:9" ht="15" customHeight="1" x14ac:dyDescent="0.2">
      <c r="B63" t="s">
        <v>208</v>
      </c>
      <c r="C63" s="12">
        <v>16</v>
      </c>
      <c r="D63" s="8">
        <v>1.51</v>
      </c>
      <c r="E63" s="12">
        <v>10</v>
      </c>
      <c r="F63" s="8">
        <v>1.56</v>
      </c>
      <c r="G63" s="12">
        <v>6</v>
      </c>
      <c r="H63" s="8">
        <v>1.46</v>
      </c>
      <c r="I63" s="12">
        <v>0</v>
      </c>
    </row>
    <row r="64" spans="2:9" ht="15" customHeight="1" x14ac:dyDescent="0.2">
      <c r="B64" t="s">
        <v>162</v>
      </c>
      <c r="C64" s="12">
        <v>16</v>
      </c>
      <c r="D64" s="8">
        <v>1.51</v>
      </c>
      <c r="E64" s="12">
        <v>6</v>
      </c>
      <c r="F64" s="8">
        <v>0.94</v>
      </c>
      <c r="G64" s="12">
        <v>10</v>
      </c>
      <c r="H64" s="8">
        <v>2.4300000000000002</v>
      </c>
      <c r="I64" s="12">
        <v>0</v>
      </c>
    </row>
    <row r="65" spans="2:9" ht="15" customHeight="1" x14ac:dyDescent="0.2">
      <c r="B65" t="s">
        <v>161</v>
      </c>
      <c r="C65" s="12">
        <v>15</v>
      </c>
      <c r="D65" s="8">
        <v>1.42</v>
      </c>
      <c r="E65" s="12">
        <v>12</v>
      </c>
      <c r="F65" s="8">
        <v>1.87</v>
      </c>
      <c r="G65" s="12">
        <v>2</v>
      </c>
      <c r="H65" s="8">
        <v>0.49</v>
      </c>
      <c r="I65" s="12">
        <v>1</v>
      </c>
    </row>
    <row r="66" spans="2:9" ht="15" customHeight="1" x14ac:dyDescent="0.2">
      <c r="B66" t="s">
        <v>157</v>
      </c>
      <c r="C66" s="12">
        <v>14</v>
      </c>
      <c r="D66" s="8">
        <v>1.32</v>
      </c>
      <c r="E66" s="12">
        <v>9</v>
      </c>
      <c r="F66" s="8">
        <v>1.4</v>
      </c>
      <c r="G66" s="12">
        <v>5</v>
      </c>
      <c r="H66" s="8">
        <v>1.22</v>
      </c>
      <c r="I66" s="12">
        <v>0</v>
      </c>
    </row>
    <row r="68" spans="2:9" ht="15" customHeight="1" x14ac:dyDescent="0.2">
      <c r="B68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33921-EF6C-49FB-9EF5-285DE32487E0}">
  <sheetPr>
    <pageSetUpPr fitToPage="1"/>
  </sheetPr>
  <dimension ref="A1:I1773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152</v>
      </c>
      <c r="B1" s="3" t="s">
        <v>153</v>
      </c>
      <c r="C1" s="7" t="s">
        <v>91</v>
      </c>
      <c r="D1" s="7" t="s">
        <v>92</v>
      </c>
      <c r="E1" s="7" t="s">
        <v>93</v>
      </c>
      <c r="F1" s="7" t="s">
        <v>94</v>
      </c>
      <c r="G1" s="7" t="s">
        <v>95</v>
      </c>
      <c r="H1" s="7" t="s">
        <v>96</v>
      </c>
      <c r="I1" s="7" t="s">
        <v>97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112</v>
      </c>
      <c r="C3" s="4">
        <v>12479</v>
      </c>
      <c r="D3" s="8">
        <v>10.74</v>
      </c>
      <c r="E3" s="4">
        <v>10811</v>
      </c>
      <c r="F3" s="8">
        <v>19.37</v>
      </c>
      <c r="G3" s="4">
        <v>1666</v>
      </c>
      <c r="H3" s="8">
        <v>2.81</v>
      </c>
      <c r="I3" s="4">
        <v>2</v>
      </c>
    </row>
    <row r="4" spans="1:9" x14ac:dyDescent="0.2">
      <c r="A4" s="2">
        <v>2</v>
      </c>
      <c r="B4" s="1" t="s">
        <v>113</v>
      </c>
      <c r="C4" s="4">
        <v>11279</v>
      </c>
      <c r="D4" s="8">
        <v>9.7100000000000009</v>
      </c>
      <c r="E4" s="4">
        <v>9258</v>
      </c>
      <c r="F4" s="8">
        <v>16.59</v>
      </c>
      <c r="G4" s="4">
        <v>2019</v>
      </c>
      <c r="H4" s="8">
        <v>3.41</v>
      </c>
      <c r="I4" s="4">
        <v>2</v>
      </c>
    </row>
    <row r="5" spans="1:9" x14ac:dyDescent="0.2">
      <c r="A5" s="2">
        <v>3</v>
      </c>
      <c r="B5" s="1" t="s">
        <v>109</v>
      </c>
      <c r="C5" s="4">
        <v>8473</v>
      </c>
      <c r="D5" s="8">
        <v>7.29</v>
      </c>
      <c r="E5" s="4">
        <v>2934</v>
      </c>
      <c r="F5" s="8">
        <v>5.26</v>
      </c>
      <c r="G5" s="4">
        <v>5513</v>
      </c>
      <c r="H5" s="8">
        <v>9.3000000000000007</v>
      </c>
      <c r="I5" s="4">
        <v>11</v>
      </c>
    </row>
    <row r="6" spans="1:9" x14ac:dyDescent="0.2">
      <c r="A6" s="2">
        <v>4</v>
      </c>
      <c r="B6" s="1" t="s">
        <v>107</v>
      </c>
      <c r="C6" s="4">
        <v>7362</v>
      </c>
      <c r="D6" s="8">
        <v>6.34</v>
      </c>
      <c r="E6" s="4">
        <v>3644</v>
      </c>
      <c r="F6" s="8">
        <v>6.53</v>
      </c>
      <c r="G6" s="4">
        <v>3712</v>
      </c>
      <c r="H6" s="8">
        <v>6.26</v>
      </c>
      <c r="I6" s="4">
        <v>6</v>
      </c>
    </row>
    <row r="7" spans="1:9" x14ac:dyDescent="0.2">
      <c r="A7" s="2">
        <v>5</v>
      </c>
      <c r="B7" s="1" t="s">
        <v>98</v>
      </c>
      <c r="C7" s="4">
        <v>7082</v>
      </c>
      <c r="D7" s="8">
        <v>6.1</v>
      </c>
      <c r="E7" s="4">
        <v>1573</v>
      </c>
      <c r="F7" s="8">
        <v>2.82</v>
      </c>
      <c r="G7" s="4">
        <v>5509</v>
      </c>
      <c r="H7" s="8">
        <v>9.3000000000000007</v>
      </c>
      <c r="I7" s="4">
        <v>0</v>
      </c>
    </row>
    <row r="8" spans="1:9" x14ac:dyDescent="0.2">
      <c r="A8" s="2">
        <v>6</v>
      </c>
      <c r="B8" s="1" t="s">
        <v>105</v>
      </c>
      <c r="C8" s="4">
        <v>5715</v>
      </c>
      <c r="D8" s="8">
        <v>4.92</v>
      </c>
      <c r="E8" s="4">
        <v>4085</v>
      </c>
      <c r="F8" s="8">
        <v>7.32</v>
      </c>
      <c r="G8" s="4">
        <v>1618</v>
      </c>
      <c r="H8" s="8">
        <v>2.73</v>
      </c>
      <c r="I8" s="4">
        <v>12</v>
      </c>
    </row>
    <row r="9" spans="1:9" x14ac:dyDescent="0.2">
      <c r="A9" s="2">
        <v>7</v>
      </c>
      <c r="B9" s="1" t="s">
        <v>99</v>
      </c>
      <c r="C9" s="4">
        <v>4481</v>
      </c>
      <c r="D9" s="8">
        <v>3.86</v>
      </c>
      <c r="E9" s="4">
        <v>1588</v>
      </c>
      <c r="F9" s="8">
        <v>2.85</v>
      </c>
      <c r="G9" s="4">
        <v>2893</v>
      </c>
      <c r="H9" s="8">
        <v>4.88</v>
      </c>
      <c r="I9" s="4">
        <v>0</v>
      </c>
    </row>
    <row r="10" spans="1:9" x14ac:dyDescent="0.2">
      <c r="A10" s="2">
        <v>8</v>
      </c>
      <c r="B10" s="1" t="s">
        <v>110</v>
      </c>
      <c r="C10" s="4">
        <v>4133</v>
      </c>
      <c r="D10" s="8">
        <v>3.56</v>
      </c>
      <c r="E10" s="4">
        <v>2339</v>
      </c>
      <c r="F10" s="8">
        <v>4.1900000000000004</v>
      </c>
      <c r="G10" s="4">
        <v>1787</v>
      </c>
      <c r="H10" s="8">
        <v>3.02</v>
      </c>
      <c r="I10" s="4">
        <v>7</v>
      </c>
    </row>
    <row r="11" spans="1:9" x14ac:dyDescent="0.2">
      <c r="A11" s="2">
        <v>9</v>
      </c>
      <c r="B11" s="1" t="s">
        <v>100</v>
      </c>
      <c r="C11" s="4">
        <v>4038</v>
      </c>
      <c r="D11" s="8">
        <v>3.48</v>
      </c>
      <c r="E11" s="4">
        <v>904</v>
      </c>
      <c r="F11" s="8">
        <v>1.62</v>
      </c>
      <c r="G11" s="4">
        <v>3133</v>
      </c>
      <c r="H11" s="8">
        <v>5.29</v>
      </c>
      <c r="I11" s="4">
        <v>1</v>
      </c>
    </row>
    <row r="12" spans="1:9" x14ac:dyDescent="0.2">
      <c r="A12" s="2">
        <v>10</v>
      </c>
      <c r="B12" s="1" t="s">
        <v>115</v>
      </c>
      <c r="C12" s="4">
        <v>4034</v>
      </c>
      <c r="D12" s="8">
        <v>3.47</v>
      </c>
      <c r="E12" s="4">
        <v>3455</v>
      </c>
      <c r="F12" s="8">
        <v>6.19</v>
      </c>
      <c r="G12" s="4">
        <v>578</v>
      </c>
      <c r="H12" s="8">
        <v>0.98</v>
      </c>
      <c r="I12" s="4">
        <v>1</v>
      </c>
    </row>
    <row r="13" spans="1:9" x14ac:dyDescent="0.2">
      <c r="A13" s="2">
        <v>11</v>
      </c>
      <c r="B13" s="1" t="s">
        <v>114</v>
      </c>
      <c r="C13" s="4">
        <v>3802</v>
      </c>
      <c r="D13" s="8">
        <v>3.27</v>
      </c>
      <c r="E13" s="4">
        <v>2400</v>
      </c>
      <c r="F13" s="8">
        <v>4.3</v>
      </c>
      <c r="G13" s="4">
        <v>1035</v>
      </c>
      <c r="H13" s="8">
        <v>1.75</v>
      </c>
      <c r="I13" s="4">
        <v>75</v>
      </c>
    </row>
    <row r="14" spans="1:9" x14ac:dyDescent="0.2">
      <c r="A14" s="2">
        <v>12</v>
      </c>
      <c r="B14" s="1" t="s">
        <v>106</v>
      </c>
      <c r="C14" s="4">
        <v>3292</v>
      </c>
      <c r="D14" s="8">
        <v>2.83</v>
      </c>
      <c r="E14" s="4">
        <v>2095</v>
      </c>
      <c r="F14" s="8">
        <v>3.75</v>
      </c>
      <c r="G14" s="4">
        <v>1197</v>
      </c>
      <c r="H14" s="8">
        <v>2.02</v>
      </c>
      <c r="I14" s="4">
        <v>0</v>
      </c>
    </row>
    <row r="15" spans="1:9" x14ac:dyDescent="0.2">
      <c r="A15" s="2">
        <v>13</v>
      </c>
      <c r="B15" s="1" t="s">
        <v>104</v>
      </c>
      <c r="C15" s="4">
        <v>3050</v>
      </c>
      <c r="D15" s="8">
        <v>2.63</v>
      </c>
      <c r="E15" s="4">
        <v>1295</v>
      </c>
      <c r="F15" s="8">
        <v>2.3199999999999998</v>
      </c>
      <c r="G15" s="4">
        <v>1752</v>
      </c>
      <c r="H15" s="8">
        <v>2.96</v>
      </c>
      <c r="I15" s="4">
        <v>3</v>
      </c>
    </row>
    <row r="16" spans="1:9" x14ac:dyDescent="0.2">
      <c r="A16" s="2">
        <v>14</v>
      </c>
      <c r="B16" s="1" t="s">
        <v>111</v>
      </c>
      <c r="C16" s="4">
        <v>2522</v>
      </c>
      <c r="D16" s="8">
        <v>2.17</v>
      </c>
      <c r="E16" s="4">
        <v>894</v>
      </c>
      <c r="F16" s="8">
        <v>1.6</v>
      </c>
      <c r="G16" s="4">
        <v>1610</v>
      </c>
      <c r="H16" s="8">
        <v>2.72</v>
      </c>
      <c r="I16" s="4">
        <v>3</v>
      </c>
    </row>
    <row r="17" spans="1:9" x14ac:dyDescent="0.2">
      <c r="A17" s="2">
        <v>15</v>
      </c>
      <c r="B17" s="1" t="s">
        <v>102</v>
      </c>
      <c r="C17" s="4">
        <v>2419</v>
      </c>
      <c r="D17" s="8">
        <v>2.08</v>
      </c>
      <c r="E17" s="4">
        <v>204</v>
      </c>
      <c r="F17" s="8">
        <v>0.37</v>
      </c>
      <c r="G17" s="4">
        <v>2215</v>
      </c>
      <c r="H17" s="8">
        <v>3.74</v>
      </c>
      <c r="I17" s="4">
        <v>0</v>
      </c>
    </row>
    <row r="18" spans="1:9" x14ac:dyDescent="0.2">
      <c r="A18" s="2">
        <v>16</v>
      </c>
      <c r="B18" s="1" t="s">
        <v>108</v>
      </c>
      <c r="C18" s="4">
        <v>2134</v>
      </c>
      <c r="D18" s="8">
        <v>1.84</v>
      </c>
      <c r="E18" s="4">
        <v>396</v>
      </c>
      <c r="F18" s="8">
        <v>0.71</v>
      </c>
      <c r="G18" s="4">
        <v>1738</v>
      </c>
      <c r="H18" s="8">
        <v>2.93</v>
      </c>
      <c r="I18" s="4">
        <v>0</v>
      </c>
    </row>
    <row r="19" spans="1:9" x14ac:dyDescent="0.2">
      <c r="A19" s="2">
        <v>17</v>
      </c>
      <c r="B19" s="1" t="s">
        <v>103</v>
      </c>
      <c r="C19" s="4">
        <v>2115</v>
      </c>
      <c r="D19" s="8">
        <v>1.82</v>
      </c>
      <c r="E19" s="4">
        <v>322</v>
      </c>
      <c r="F19" s="8">
        <v>0.57999999999999996</v>
      </c>
      <c r="G19" s="4">
        <v>1791</v>
      </c>
      <c r="H19" s="8">
        <v>3.02</v>
      </c>
      <c r="I19" s="4">
        <v>2</v>
      </c>
    </row>
    <row r="20" spans="1:9" x14ac:dyDescent="0.2">
      <c r="A20" s="2">
        <v>18</v>
      </c>
      <c r="B20" s="1" t="s">
        <v>101</v>
      </c>
      <c r="C20" s="4">
        <v>1912</v>
      </c>
      <c r="D20" s="8">
        <v>1.65</v>
      </c>
      <c r="E20" s="4">
        <v>253</v>
      </c>
      <c r="F20" s="8">
        <v>0.45</v>
      </c>
      <c r="G20" s="4">
        <v>1658</v>
      </c>
      <c r="H20" s="8">
        <v>2.8</v>
      </c>
      <c r="I20" s="4">
        <v>1</v>
      </c>
    </row>
    <row r="21" spans="1:9" x14ac:dyDescent="0.2">
      <c r="A21" s="2">
        <v>19</v>
      </c>
      <c r="B21" s="1" t="s">
        <v>116</v>
      </c>
      <c r="C21" s="4">
        <v>1867</v>
      </c>
      <c r="D21" s="8">
        <v>1.61</v>
      </c>
      <c r="E21" s="4">
        <v>41</v>
      </c>
      <c r="F21" s="8">
        <v>7.0000000000000007E-2</v>
      </c>
      <c r="G21" s="4">
        <v>1635</v>
      </c>
      <c r="H21" s="8">
        <v>2.76</v>
      </c>
      <c r="I21" s="4">
        <v>13</v>
      </c>
    </row>
    <row r="22" spans="1:9" x14ac:dyDescent="0.2">
      <c r="A22" s="2">
        <v>20</v>
      </c>
      <c r="B22" s="1" t="s">
        <v>117</v>
      </c>
      <c r="C22" s="4">
        <v>1659</v>
      </c>
      <c r="D22" s="8">
        <v>1.43</v>
      </c>
      <c r="E22" s="4">
        <v>134</v>
      </c>
      <c r="F22" s="8">
        <v>0.24</v>
      </c>
      <c r="G22" s="4">
        <v>1489</v>
      </c>
      <c r="H22" s="8">
        <v>2.5099999999999998</v>
      </c>
      <c r="I22" s="4">
        <v>31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112</v>
      </c>
      <c r="C25" s="4">
        <v>2584</v>
      </c>
      <c r="D25" s="8">
        <v>11.49</v>
      </c>
      <c r="E25" s="4">
        <v>2282</v>
      </c>
      <c r="F25" s="8">
        <v>20.55</v>
      </c>
      <c r="G25" s="4">
        <v>301</v>
      </c>
      <c r="H25" s="8">
        <v>2.69</v>
      </c>
      <c r="I25" s="4">
        <v>1</v>
      </c>
    </row>
    <row r="26" spans="1:9" x14ac:dyDescent="0.2">
      <c r="A26" s="2">
        <v>2</v>
      </c>
      <c r="B26" s="1" t="s">
        <v>113</v>
      </c>
      <c r="C26" s="4">
        <v>2241</v>
      </c>
      <c r="D26" s="8">
        <v>9.9700000000000006</v>
      </c>
      <c r="E26" s="4">
        <v>1859</v>
      </c>
      <c r="F26" s="8">
        <v>16.739999999999998</v>
      </c>
      <c r="G26" s="4">
        <v>381</v>
      </c>
      <c r="H26" s="8">
        <v>3.41</v>
      </c>
      <c r="I26" s="4">
        <v>1</v>
      </c>
    </row>
    <row r="27" spans="1:9" x14ac:dyDescent="0.2">
      <c r="A27" s="2">
        <v>3</v>
      </c>
      <c r="B27" s="1" t="s">
        <v>109</v>
      </c>
      <c r="C27" s="4">
        <v>2088</v>
      </c>
      <c r="D27" s="8">
        <v>9.2799999999999994</v>
      </c>
      <c r="E27" s="4">
        <v>1048</v>
      </c>
      <c r="F27" s="8">
        <v>9.44</v>
      </c>
      <c r="G27" s="4">
        <v>1039</v>
      </c>
      <c r="H27" s="8">
        <v>9.2899999999999991</v>
      </c>
      <c r="I27" s="4">
        <v>1</v>
      </c>
    </row>
    <row r="28" spans="1:9" x14ac:dyDescent="0.2">
      <c r="A28" s="2">
        <v>4</v>
      </c>
      <c r="B28" s="1" t="s">
        <v>107</v>
      </c>
      <c r="C28" s="4">
        <v>1497</v>
      </c>
      <c r="D28" s="8">
        <v>6.66</v>
      </c>
      <c r="E28" s="4">
        <v>723</v>
      </c>
      <c r="F28" s="8">
        <v>6.51</v>
      </c>
      <c r="G28" s="4">
        <v>771</v>
      </c>
      <c r="H28" s="8">
        <v>6.9</v>
      </c>
      <c r="I28" s="4">
        <v>3</v>
      </c>
    </row>
    <row r="29" spans="1:9" x14ac:dyDescent="0.2">
      <c r="A29" s="2">
        <v>5</v>
      </c>
      <c r="B29" s="1" t="s">
        <v>98</v>
      </c>
      <c r="C29" s="4">
        <v>1315</v>
      </c>
      <c r="D29" s="8">
        <v>5.85</v>
      </c>
      <c r="E29" s="4">
        <v>233</v>
      </c>
      <c r="F29" s="8">
        <v>2.1</v>
      </c>
      <c r="G29" s="4">
        <v>1082</v>
      </c>
      <c r="H29" s="8">
        <v>9.68</v>
      </c>
      <c r="I29" s="4">
        <v>0</v>
      </c>
    </row>
    <row r="30" spans="1:9" x14ac:dyDescent="0.2">
      <c r="A30" s="2">
        <v>5</v>
      </c>
      <c r="B30" s="1" t="s">
        <v>105</v>
      </c>
      <c r="C30" s="4">
        <v>1315</v>
      </c>
      <c r="D30" s="8">
        <v>5.85</v>
      </c>
      <c r="E30" s="4">
        <v>951</v>
      </c>
      <c r="F30" s="8">
        <v>8.57</v>
      </c>
      <c r="G30" s="4">
        <v>364</v>
      </c>
      <c r="H30" s="8">
        <v>3.26</v>
      </c>
      <c r="I30" s="4">
        <v>0</v>
      </c>
    </row>
    <row r="31" spans="1:9" x14ac:dyDescent="0.2">
      <c r="A31" s="2">
        <v>7</v>
      </c>
      <c r="B31" s="1" t="s">
        <v>100</v>
      </c>
      <c r="C31" s="4">
        <v>915</v>
      </c>
      <c r="D31" s="8">
        <v>4.07</v>
      </c>
      <c r="E31" s="4">
        <v>127</v>
      </c>
      <c r="F31" s="8">
        <v>1.1399999999999999</v>
      </c>
      <c r="G31" s="4">
        <v>788</v>
      </c>
      <c r="H31" s="8">
        <v>7.05</v>
      </c>
      <c r="I31" s="4">
        <v>0</v>
      </c>
    </row>
    <row r="32" spans="1:9" x14ac:dyDescent="0.2">
      <c r="A32" s="2">
        <v>8</v>
      </c>
      <c r="B32" s="1" t="s">
        <v>99</v>
      </c>
      <c r="C32" s="4">
        <v>844</v>
      </c>
      <c r="D32" s="8">
        <v>3.75</v>
      </c>
      <c r="E32" s="4">
        <v>232</v>
      </c>
      <c r="F32" s="8">
        <v>2.09</v>
      </c>
      <c r="G32" s="4">
        <v>612</v>
      </c>
      <c r="H32" s="8">
        <v>5.47</v>
      </c>
      <c r="I32" s="4">
        <v>0</v>
      </c>
    </row>
    <row r="33" spans="1:9" x14ac:dyDescent="0.2">
      <c r="A33" s="2">
        <v>9</v>
      </c>
      <c r="B33" s="1" t="s">
        <v>115</v>
      </c>
      <c r="C33" s="4">
        <v>822</v>
      </c>
      <c r="D33" s="8">
        <v>3.66</v>
      </c>
      <c r="E33" s="4">
        <v>703</v>
      </c>
      <c r="F33" s="8">
        <v>6.33</v>
      </c>
      <c r="G33" s="4">
        <v>119</v>
      </c>
      <c r="H33" s="8">
        <v>1.06</v>
      </c>
      <c r="I33" s="4">
        <v>0</v>
      </c>
    </row>
    <row r="34" spans="1:9" x14ac:dyDescent="0.2">
      <c r="A34" s="2">
        <v>10</v>
      </c>
      <c r="B34" s="1" t="s">
        <v>114</v>
      </c>
      <c r="C34" s="4">
        <v>678</v>
      </c>
      <c r="D34" s="8">
        <v>3.01</v>
      </c>
      <c r="E34" s="4">
        <v>471</v>
      </c>
      <c r="F34" s="8">
        <v>4.24</v>
      </c>
      <c r="G34" s="4">
        <v>186</v>
      </c>
      <c r="H34" s="8">
        <v>1.66</v>
      </c>
      <c r="I34" s="4">
        <v>16</v>
      </c>
    </row>
    <row r="35" spans="1:9" x14ac:dyDescent="0.2">
      <c r="A35" s="2">
        <v>11</v>
      </c>
      <c r="B35" s="1" t="s">
        <v>110</v>
      </c>
      <c r="C35" s="4">
        <v>669</v>
      </c>
      <c r="D35" s="8">
        <v>2.97</v>
      </c>
      <c r="E35" s="4">
        <v>390</v>
      </c>
      <c r="F35" s="8">
        <v>3.51</v>
      </c>
      <c r="G35" s="4">
        <v>279</v>
      </c>
      <c r="H35" s="8">
        <v>2.5</v>
      </c>
      <c r="I35" s="4">
        <v>0</v>
      </c>
    </row>
    <row r="36" spans="1:9" x14ac:dyDescent="0.2">
      <c r="A36" s="2">
        <v>12</v>
      </c>
      <c r="B36" s="1" t="s">
        <v>104</v>
      </c>
      <c r="C36" s="4">
        <v>610</v>
      </c>
      <c r="D36" s="8">
        <v>2.71</v>
      </c>
      <c r="E36" s="4">
        <v>298</v>
      </c>
      <c r="F36" s="8">
        <v>2.68</v>
      </c>
      <c r="G36" s="4">
        <v>310</v>
      </c>
      <c r="H36" s="8">
        <v>2.77</v>
      </c>
      <c r="I36" s="4">
        <v>2</v>
      </c>
    </row>
    <row r="37" spans="1:9" x14ac:dyDescent="0.2">
      <c r="A37" s="2">
        <v>13</v>
      </c>
      <c r="B37" s="1" t="s">
        <v>106</v>
      </c>
      <c r="C37" s="4">
        <v>541</v>
      </c>
      <c r="D37" s="8">
        <v>2.41</v>
      </c>
      <c r="E37" s="4">
        <v>308</v>
      </c>
      <c r="F37" s="8">
        <v>2.77</v>
      </c>
      <c r="G37" s="4">
        <v>233</v>
      </c>
      <c r="H37" s="8">
        <v>2.08</v>
      </c>
      <c r="I37" s="4">
        <v>0</v>
      </c>
    </row>
    <row r="38" spans="1:9" x14ac:dyDescent="0.2">
      <c r="A38" s="2">
        <v>14</v>
      </c>
      <c r="B38" s="1" t="s">
        <v>111</v>
      </c>
      <c r="C38" s="4">
        <v>420</v>
      </c>
      <c r="D38" s="8">
        <v>1.87</v>
      </c>
      <c r="E38" s="4">
        <v>158</v>
      </c>
      <c r="F38" s="8">
        <v>1.42</v>
      </c>
      <c r="G38" s="4">
        <v>260</v>
      </c>
      <c r="H38" s="8">
        <v>2.33</v>
      </c>
      <c r="I38" s="4">
        <v>0</v>
      </c>
    </row>
    <row r="39" spans="1:9" x14ac:dyDescent="0.2">
      <c r="A39" s="2">
        <v>15</v>
      </c>
      <c r="B39" s="1" t="s">
        <v>102</v>
      </c>
      <c r="C39" s="4">
        <v>401</v>
      </c>
      <c r="D39" s="8">
        <v>1.78</v>
      </c>
      <c r="E39" s="4">
        <v>33</v>
      </c>
      <c r="F39" s="8">
        <v>0.3</v>
      </c>
      <c r="G39" s="4">
        <v>368</v>
      </c>
      <c r="H39" s="8">
        <v>3.29</v>
      </c>
      <c r="I39" s="4">
        <v>0</v>
      </c>
    </row>
    <row r="40" spans="1:9" x14ac:dyDescent="0.2">
      <c r="A40" s="2">
        <v>16</v>
      </c>
      <c r="B40" s="1" t="s">
        <v>101</v>
      </c>
      <c r="C40" s="4">
        <v>369</v>
      </c>
      <c r="D40" s="8">
        <v>1.64</v>
      </c>
      <c r="E40" s="4">
        <v>37</v>
      </c>
      <c r="F40" s="8">
        <v>0.33</v>
      </c>
      <c r="G40" s="4">
        <v>332</v>
      </c>
      <c r="H40" s="8">
        <v>2.97</v>
      </c>
      <c r="I40" s="4">
        <v>0</v>
      </c>
    </row>
    <row r="41" spans="1:9" x14ac:dyDescent="0.2">
      <c r="A41" s="2">
        <v>17</v>
      </c>
      <c r="B41" s="1" t="s">
        <v>108</v>
      </c>
      <c r="C41" s="4">
        <v>366</v>
      </c>
      <c r="D41" s="8">
        <v>1.63</v>
      </c>
      <c r="E41" s="4">
        <v>62</v>
      </c>
      <c r="F41" s="8">
        <v>0.56000000000000005</v>
      </c>
      <c r="G41" s="4">
        <v>304</v>
      </c>
      <c r="H41" s="8">
        <v>2.72</v>
      </c>
      <c r="I41" s="4">
        <v>0</v>
      </c>
    </row>
    <row r="42" spans="1:9" x14ac:dyDescent="0.2">
      <c r="A42" s="2">
        <v>18</v>
      </c>
      <c r="B42" s="1" t="s">
        <v>116</v>
      </c>
      <c r="C42" s="4">
        <v>338</v>
      </c>
      <c r="D42" s="8">
        <v>1.5</v>
      </c>
      <c r="E42" s="4">
        <v>6</v>
      </c>
      <c r="F42" s="8">
        <v>0.05</v>
      </c>
      <c r="G42" s="4">
        <v>319</v>
      </c>
      <c r="H42" s="8">
        <v>2.85</v>
      </c>
      <c r="I42" s="4">
        <v>1</v>
      </c>
    </row>
    <row r="43" spans="1:9" x14ac:dyDescent="0.2">
      <c r="A43" s="2">
        <v>19</v>
      </c>
      <c r="B43" s="1" t="s">
        <v>118</v>
      </c>
      <c r="C43" s="4">
        <v>323</v>
      </c>
      <c r="D43" s="8">
        <v>1.44</v>
      </c>
      <c r="E43" s="4">
        <v>135</v>
      </c>
      <c r="F43" s="8">
        <v>1.22</v>
      </c>
      <c r="G43" s="4">
        <v>187</v>
      </c>
      <c r="H43" s="8">
        <v>1.67</v>
      </c>
      <c r="I43" s="4">
        <v>0</v>
      </c>
    </row>
    <row r="44" spans="1:9" x14ac:dyDescent="0.2">
      <c r="A44" s="2">
        <v>20</v>
      </c>
      <c r="B44" s="1" t="s">
        <v>103</v>
      </c>
      <c r="C44" s="4">
        <v>316</v>
      </c>
      <c r="D44" s="8">
        <v>1.41</v>
      </c>
      <c r="E44" s="4">
        <v>58</v>
      </c>
      <c r="F44" s="8">
        <v>0.52</v>
      </c>
      <c r="G44" s="4">
        <v>258</v>
      </c>
      <c r="H44" s="8">
        <v>2.31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112</v>
      </c>
      <c r="C47" s="4">
        <v>304</v>
      </c>
      <c r="D47" s="8">
        <v>13.34</v>
      </c>
      <c r="E47" s="4">
        <v>282</v>
      </c>
      <c r="F47" s="8">
        <v>23.23</v>
      </c>
      <c r="G47" s="4">
        <v>22</v>
      </c>
      <c r="H47" s="8">
        <v>2.13</v>
      </c>
      <c r="I47" s="4">
        <v>0</v>
      </c>
    </row>
    <row r="48" spans="1:9" x14ac:dyDescent="0.2">
      <c r="A48" s="2">
        <v>2</v>
      </c>
      <c r="B48" s="1" t="s">
        <v>113</v>
      </c>
      <c r="C48" s="4">
        <v>216</v>
      </c>
      <c r="D48" s="8">
        <v>9.48</v>
      </c>
      <c r="E48" s="4">
        <v>184</v>
      </c>
      <c r="F48" s="8">
        <v>15.16</v>
      </c>
      <c r="G48" s="4">
        <v>32</v>
      </c>
      <c r="H48" s="8">
        <v>3.1</v>
      </c>
      <c r="I48" s="4">
        <v>0</v>
      </c>
    </row>
    <row r="49" spans="1:9" x14ac:dyDescent="0.2">
      <c r="A49" s="2">
        <v>3</v>
      </c>
      <c r="B49" s="1" t="s">
        <v>109</v>
      </c>
      <c r="C49" s="4">
        <v>209</v>
      </c>
      <c r="D49" s="8">
        <v>9.17</v>
      </c>
      <c r="E49" s="4">
        <v>136</v>
      </c>
      <c r="F49" s="8">
        <v>11.2</v>
      </c>
      <c r="G49" s="4">
        <v>73</v>
      </c>
      <c r="H49" s="8">
        <v>7.07</v>
      </c>
      <c r="I49" s="4">
        <v>0</v>
      </c>
    </row>
    <row r="50" spans="1:9" x14ac:dyDescent="0.2">
      <c r="A50" s="2">
        <v>4</v>
      </c>
      <c r="B50" s="1" t="s">
        <v>105</v>
      </c>
      <c r="C50" s="4">
        <v>200</v>
      </c>
      <c r="D50" s="8">
        <v>8.7799999999999994</v>
      </c>
      <c r="E50" s="4">
        <v>142</v>
      </c>
      <c r="F50" s="8">
        <v>11.7</v>
      </c>
      <c r="G50" s="4">
        <v>58</v>
      </c>
      <c r="H50" s="8">
        <v>5.62</v>
      </c>
      <c r="I50" s="4">
        <v>0</v>
      </c>
    </row>
    <row r="51" spans="1:9" x14ac:dyDescent="0.2">
      <c r="A51" s="2">
        <v>5</v>
      </c>
      <c r="B51" s="1" t="s">
        <v>107</v>
      </c>
      <c r="C51" s="4">
        <v>163</v>
      </c>
      <c r="D51" s="8">
        <v>7.15</v>
      </c>
      <c r="E51" s="4">
        <v>82</v>
      </c>
      <c r="F51" s="8">
        <v>6.75</v>
      </c>
      <c r="G51" s="4">
        <v>81</v>
      </c>
      <c r="H51" s="8">
        <v>7.85</v>
      </c>
      <c r="I51" s="4">
        <v>0</v>
      </c>
    </row>
    <row r="52" spans="1:9" x14ac:dyDescent="0.2">
      <c r="A52" s="2">
        <v>6</v>
      </c>
      <c r="B52" s="1" t="s">
        <v>98</v>
      </c>
      <c r="C52" s="4">
        <v>134</v>
      </c>
      <c r="D52" s="8">
        <v>5.88</v>
      </c>
      <c r="E52" s="4">
        <v>28</v>
      </c>
      <c r="F52" s="8">
        <v>2.31</v>
      </c>
      <c r="G52" s="4">
        <v>106</v>
      </c>
      <c r="H52" s="8">
        <v>10.27</v>
      </c>
      <c r="I52" s="4">
        <v>0</v>
      </c>
    </row>
    <row r="53" spans="1:9" x14ac:dyDescent="0.2">
      <c r="A53" s="2">
        <v>7</v>
      </c>
      <c r="B53" s="1" t="s">
        <v>100</v>
      </c>
      <c r="C53" s="4">
        <v>72</v>
      </c>
      <c r="D53" s="8">
        <v>3.16</v>
      </c>
      <c r="E53" s="4">
        <v>8</v>
      </c>
      <c r="F53" s="8">
        <v>0.66</v>
      </c>
      <c r="G53" s="4">
        <v>64</v>
      </c>
      <c r="H53" s="8">
        <v>6.2</v>
      </c>
      <c r="I53" s="4">
        <v>0</v>
      </c>
    </row>
    <row r="54" spans="1:9" x14ac:dyDescent="0.2">
      <c r="A54" s="2">
        <v>8</v>
      </c>
      <c r="B54" s="1" t="s">
        <v>115</v>
      </c>
      <c r="C54" s="4">
        <v>70</v>
      </c>
      <c r="D54" s="8">
        <v>3.07</v>
      </c>
      <c r="E54" s="4">
        <v>59</v>
      </c>
      <c r="F54" s="8">
        <v>4.8600000000000003</v>
      </c>
      <c r="G54" s="4">
        <v>11</v>
      </c>
      <c r="H54" s="8">
        <v>1.07</v>
      </c>
      <c r="I54" s="4">
        <v>0</v>
      </c>
    </row>
    <row r="55" spans="1:9" x14ac:dyDescent="0.2">
      <c r="A55" s="2">
        <v>9</v>
      </c>
      <c r="B55" s="1" t="s">
        <v>114</v>
      </c>
      <c r="C55" s="4">
        <v>67</v>
      </c>
      <c r="D55" s="8">
        <v>2.94</v>
      </c>
      <c r="E55" s="4">
        <v>45</v>
      </c>
      <c r="F55" s="8">
        <v>3.71</v>
      </c>
      <c r="G55" s="4">
        <v>14</v>
      </c>
      <c r="H55" s="8">
        <v>1.36</v>
      </c>
      <c r="I55" s="4">
        <v>7</v>
      </c>
    </row>
    <row r="56" spans="1:9" x14ac:dyDescent="0.2">
      <c r="A56" s="2">
        <v>10</v>
      </c>
      <c r="B56" s="1" t="s">
        <v>104</v>
      </c>
      <c r="C56" s="4">
        <v>62</v>
      </c>
      <c r="D56" s="8">
        <v>2.72</v>
      </c>
      <c r="E56" s="4">
        <v>43</v>
      </c>
      <c r="F56" s="8">
        <v>3.54</v>
      </c>
      <c r="G56" s="4">
        <v>19</v>
      </c>
      <c r="H56" s="8">
        <v>1.84</v>
      </c>
      <c r="I56" s="4">
        <v>0</v>
      </c>
    </row>
    <row r="57" spans="1:9" x14ac:dyDescent="0.2">
      <c r="A57" s="2">
        <v>11</v>
      </c>
      <c r="B57" s="1" t="s">
        <v>99</v>
      </c>
      <c r="C57" s="4">
        <v>61</v>
      </c>
      <c r="D57" s="8">
        <v>2.68</v>
      </c>
      <c r="E57" s="4">
        <v>17</v>
      </c>
      <c r="F57" s="8">
        <v>1.4</v>
      </c>
      <c r="G57" s="4">
        <v>44</v>
      </c>
      <c r="H57" s="8">
        <v>4.26</v>
      </c>
      <c r="I57" s="4">
        <v>0</v>
      </c>
    </row>
    <row r="58" spans="1:9" x14ac:dyDescent="0.2">
      <c r="A58" s="2">
        <v>12</v>
      </c>
      <c r="B58" s="1" t="s">
        <v>106</v>
      </c>
      <c r="C58" s="4">
        <v>59</v>
      </c>
      <c r="D58" s="8">
        <v>2.59</v>
      </c>
      <c r="E58" s="4">
        <v>31</v>
      </c>
      <c r="F58" s="8">
        <v>2.5499999999999998</v>
      </c>
      <c r="G58" s="4">
        <v>28</v>
      </c>
      <c r="H58" s="8">
        <v>2.71</v>
      </c>
      <c r="I58" s="4">
        <v>0</v>
      </c>
    </row>
    <row r="59" spans="1:9" x14ac:dyDescent="0.2">
      <c r="A59" s="2">
        <v>13</v>
      </c>
      <c r="B59" s="1" t="s">
        <v>110</v>
      </c>
      <c r="C59" s="4">
        <v>45</v>
      </c>
      <c r="D59" s="8">
        <v>1.97</v>
      </c>
      <c r="E59" s="4">
        <v>23</v>
      </c>
      <c r="F59" s="8">
        <v>1.89</v>
      </c>
      <c r="G59" s="4">
        <v>22</v>
      </c>
      <c r="H59" s="8">
        <v>2.13</v>
      </c>
      <c r="I59" s="4">
        <v>0</v>
      </c>
    </row>
    <row r="60" spans="1:9" x14ac:dyDescent="0.2">
      <c r="A60" s="2">
        <v>14</v>
      </c>
      <c r="B60" s="1" t="s">
        <v>101</v>
      </c>
      <c r="C60" s="4">
        <v>33</v>
      </c>
      <c r="D60" s="8">
        <v>1.45</v>
      </c>
      <c r="E60" s="4">
        <v>4</v>
      </c>
      <c r="F60" s="8">
        <v>0.33</v>
      </c>
      <c r="G60" s="4">
        <v>29</v>
      </c>
      <c r="H60" s="8">
        <v>2.81</v>
      </c>
      <c r="I60" s="4">
        <v>0</v>
      </c>
    </row>
    <row r="61" spans="1:9" x14ac:dyDescent="0.2">
      <c r="A61" s="2">
        <v>15</v>
      </c>
      <c r="B61" s="1" t="s">
        <v>111</v>
      </c>
      <c r="C61" s="4">
        <v>30</v>
      </c>
      <c r="D61" s="8">
        <v>1.32</v>
      </c>
      <c r="E61" s="4">
        <v>12</v>
      </c>
      <c r="F61" s="8">
        <v>0.99</v>
      </c>
      <c r="G61" s="4">
        <v>17</v>
      </c>
      <c r="H61" s="8">
        <v>1.65</v>
      </c>
      <c r="I61" s="4">
        <v>0</v>
      </c>
    </row>
    <row r="62" spans="1:9" x14ac:dyDescent="0.2">
      <c r="A62" s="2">
        <v>15</v>
      </c>
      <c r="B62" s="1" t="s">
        <v>121</v>
      </c>
      <c r="C62" s="4">
        <v>30</v>
      </c>
      <c r="D62" s="8">
        <v>1.32</v>
      </c>
      <c r="E62" s="4">
        <v>10</v>
      </c>
      <c r="F62" s="8">
        <v>0.82</v>
      </c>
      <c r="G62" s="4">
        <v>20</v>
      </c>
      <c r="H62" s="8">
        <v>1.94</v>
      </c>
      <c r="I62" s="4">
        <v>0</v>
      </c>
    </row>
    <row r="63" spans="1:9" x14ac:dyDescent="0.2">
      <c r="A63" s="2">
        <v>17</v>
      </c>
      <c r="B63" s="1" t="s">
        <v>120</v>
      </c>
      <c r="C63" s="4">
        <v>29</v>
      </c>
      <c r="D63" s="8">
        <v>1.27</v>
      </c>
      <c r="E63" s="4">
        <v>0</v>
      </c>
      <c r="F63" s="8">
        <v>0</v>
      </c>
      <c r="G63" s="4">
        <v>28</v>
      </c>
      <c r="H63" s="8">
        <v>2.71</v>
      </c>
      <c r="I63" s="4">
        <v>1</v>
      </c>
    </row>
    <row r="64" spans="1:9" x14ac:dyDescent="0.2">
      <c r="A64" s="2">
        <v>18</v>
      </c>
      <c r="B64" s="1" t="s">
        <v>102</v>
      </c>
      <c r="C64" s="4">
        <v>27</v>
      </c>
      <c r="D64" s="8">
        <v>1.18</v>
      </c>
      <c r="E64" s="4">
        <v>4</v>
      </c>
      <c r="F64" s="8">
        <v>0.33</v>
      </c>
      <c r="G64" s="4">
        <v>23</v>
      </c>
      <c r="H64" s="8">
        <v>2.23</v>
      </c>
      <c r="I64" s="4">
        <v>0</v>
      </c>
    </row>
    <row r="65" spans="1:9" x14ac:dyDescent="0.2">
      <c r="A65" s="2">
        <v>18</v>
      </c>
      <c r="B65" s="1" t="s">
        <v>116</v>
      </c>
      <c r="C65" s="4">
        <v>27</v>
      </c>
      <c r="D65" s="8">
        <v>1.18</v>
      </c>
      <c r="E65" s="4">
        <v>0</v>
      </c>
      <c r="F65" s="8">
        <v>0</v>
      </c>
      <c r="G65" s="4">
        <v>24</v>
      </c>
      <c r="H65" s="8">
        <v>2.33</v>
      </c>
      <c r="I65" s="4">
        <v>0</v>
      </c>
    </row>
    <row r="66" spans="1:9" x14ac:dyDescent="0.2">
      <c r="A66" s="2">
        <v>20</v>
      </c>
      <c r="B66" s="1" t="s">
        <v>119</v>
      </c>
      <c r="C66" s="4">
        <v>25</v>
      </c>
      <c r="D66" s="8">
        <v>1.1000000000000001</v>
      </c>
      <c r="E66" s="4">
        <v>6</v>
      </c>
      <c r="F66" s="8">
        <v>0.49</v>
      </c>
      <c r="G66" s="4">
        <v>19</v>
      </c>
      <c r="H66" s="8">
        <v>1.84</v>
      </c>
      <c r="I66" s="4">
        <v>0</v>
      </c>
    </row>
    <row r="67" spans="1:9" x14ac:dyDescent="0.2">
      <c r="A67" s="2">
        <v>20</v>
      </c>
      <c r="B67" s="1" t="s">
        <v>118</v>
      </c>
      <c r="C67" s="4">
        <v>25</v>
      </c>
      <c r="D67" s="8">
        <v>1.1000000000000001</v>
      </c>
      <c r="E67" s="4">
        <v>10</v>
      </c>
      <c r="F67" s="8">
        <v>0.82</v>
      </c>
      <c r="G67" s="4">
        <v>14</v>
      </c>
      <c r="H67" s="8">
        <v>1.36</v>
      </c>
      <c r="I67" s="4">
        <v>0</v>
      </c>
    </row>
    <row r="68" spans="1:9" x14ac:dyDescent="0.2">
      <c r="A68" s="1"/>
      <c r="C68" s="4"/>
      <c r="D68" s="8"/>
      <c r="E68" s="4"/>
      <c r="F68" s="8"/>
      <c r="G68" s="4"/>
      <c r="H68" s="8"/>
      <c r="I68" s="4"/>
    </row>
    <row r="69" spans="1:9" x14ac:dyDescent="0.2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2">
      <c r="A70" s="2">
        <v>1</v>
      </c>
      <c r="B70" s="1" t="s">
        <v>113</v>
      </c>
      <c r="C70" s="4">
        <v>197</v>
      </c>
      <c r="D70" s="8">
        <v>10.71</v>
      </c>
      <c r="E70" s="4">
        <v>175</v>
      </c>
      <c r="F70" s="8">
        <v>19.36</v>
      </c>
      <c r="G70" s="4">
        <v>22</v>
      </c>
      <c r="H70" s="8">
        <v>2.4</v>
      </c>
      <c r="I70" s="4">
        <v>0</v>
      </c>
    </row>
    <row r="71" spans="1:9" x14ac:dyDescent="0.2">
      <c r="A71" s="2">
        <v>2</v>
      </c>
      <c r="B71" s="1" t="s">
        <v>112</v>
      </c>
      <c r="C71" s="4">
        <v>149</v>
      </c>
      <c r="D71" s="8">
        <v>8.1</v>
      </c>
      <c r="E71" s="4">
        <v>136</v>
      </c>
      <c r="F71" s="8">
        <v>15.04</v>
      </c>
      <c r="G71" s="4">
        <v>12</v>
      </c>
      <c r="H71" s="8">
        <v>1.31</v>
      </c>
      <c r="I71" s="4">
        <v>1</v>
      </c>
    </row>
    <row r="72" spans="1:9" x14ac:dyDescent="0.2">
      <c r="A72" s="2">
        <v>3</v>
      </c>
      <c r="B72" s="1" t="s">
        <v>109</v>
      </c>
      <c r="C72" s="4">
        <v>143</v>
      </c>
      <c r="D72" s="8">
        <v>7.78</v>
      </c>
      <c r="E72" s="4">
        <v>72</v>
      </c>
      <c r="F72" s="8">
        <v>7.96</v>
      </c>
      <c r="G72" s="4">
        <v>71</v>
      </c>
      <c r="H72" s="8">
        <v>7.75</v>
      </c>
      <c r="I72" s="4">
        <v>0</v>
      </c>
    </row>
    <row r="73" spans="1:9" x14ac:dyDescent="0.2">
      <c r="A73" s="2">
        <v>4</v>
      </c>
      <c r="B73" s="1" t="s">
        <v>107</v>
      </c>
      <c r="C73" s="4">
        <v>117</v>
      </c>
      <c r="D73" s="8">
        <v>6.36</v>
      </c>
      <c r="E73" s="4">
        <v>61</v>
      </c>
      <c r="F73" s="8">
        <v>6.75</v>
      </c>
      <c r="G73" s="4">
        <v>56</v>
      </c>
      <c r="H73" s="8">
        <v>6.11</v>
      </c>
      <c r="I73" s="4">
        <v>0</v>
      </c>
    </row>
    <row r="74" spans="1:9" x14ac:dyDescent="0.2">
      <c r="A74" s="2">
        <v>5</v>
      </c>
      <c r="B74" s="1" t="s">
        <v>105</v>
      </c>
      <c r="C74" s="4">
        <v>115</v>
      </c>
      <c r="D74" s="8">
        <v>6.25</v>
      </c>
      <c r="E74" s="4">
        <v>80</v>
      </c>
      <c r="F74" s="8">
        <v>8.85</v>
      </c>
      <c r="G74" s="4">
        <v>35</v>
      </c>
      <c r="H74" s="8">
        <v>3.82</v>
      </c>
      <c r="I74" s="4">
        <v>0</v>
      </c>
    </row>
    <row r="75" spans="1:9" x14ac:dyDescent="0.2">
      <c r="A75" s="2">
        <v>6</v>
      </c>
      <c r="B75" s="1" t="s">
        <v>98</v>
      </c>
      <c r="C75" s="4">
        <v>109</v>
      </c>
      <c r="D75" s="8">
        <v>5.93</v>
      </c>
      <c r="E75" s="4">
        <v>20</v>
      </c>
      <c r="F75" s="8">
        <v>2.21</v>
      </c>
      <c r="G75" s="4">
        <v>89</v>
      </c>
      <c r="H75" s="8">
        <v>9.7200000000000006</v>
      </c>
      <c r="I75" s="4">
        <v>0</v>
      </c>
    </row>
    <row r="76" spans="1:9" x14ac:dyDescent="0.2">
      <c r="A76" s="2">
        <v>7</v>
      </c>
      <c r="B76" s="1" t="s">
        <v>100</v>
      </c>
      <c r="C76" s="4">
        <v>70</v>
      </c>
      <c r="D76" s="8">
        <v>3.81</v>
      </c>
      <c r="E76" s="4">
        <v>16</v>
      </c>
      <c r="F76" s="8">
        <v>1.77</v>
      </c>
      <c r="G76" s="4">
        <v>54</v>
      </c>
      <c r="H76" s="8">
        <v>5.9</v>
      </c>
      <c r="I76" s="4">
        <v>0</v>
      </c>
    </row>
    <row r="77" spans="1:9" x14ac:dyDescent="0.2">
      <c r="A77" s="2">
        <v>8</v>
      </c>
      <c r="B77" s="1" t="s">
        <v>114</v>
      </c>
      <c r="C77" s="4">
        <v>68</v>
      </c>
      <c r="D77" s="8">
        <v>3.7</v>
      </c>
      <c r="E77" s="4">
        <v>47</v>
      </c>
      <c r="F77" s="8">
        <v>5.2</v>
      </c>
      <c r="G77" s="4">
        <v>18</v>
      </c>
      <c r="H77" s="8">
        <v>1.97</v>
      </c>
      <c r="I77" s="4">
        <v>3</v>
      </c>
    </row>
    <row r="78" spans="1:9" x14ac:dyDescent="0.2">
      <c r="A78" s="2">
        <v>9</v>
      </c>
      <c r="B78" s="1" t="s">
        <v>99</v>
      </c>
      <c r="C78" s="4">
        <v>67</v>
      </c>
      <c r="D78" s="8">
        <v>3.64</v>
      </c>
      <c r="E78" s="4">
        <v>19</v>
      </c>
      <c r="F78" s="8">
        <v>2.1</v>
      </c>
      <c r="G78" s="4">
        <v>48</v>
      </c>
      <c r="H78" s="8">
        <v>5.24</v>
      </c>
      <c r="I78" s="4">
        <v>0</v>
      </c>
    </row>
    <row r="79" spans="1:9" x14ac:dyDescent="0.2">
      <c r="A79" s="2">
        <v>10</v>
      </c>
      <c r="B79" s="1" t="s">
        <v>115</v>
      </c>
      <c r="C79" s="4">
        <v>66</v>
      </c>
      <c r="D79" s="8">
        <v>3.59</v>
      </c>
      <c r="E79" s="4">
        <v>60</v>
      </c>
      <c r="F79" s="8">
        <v>6.64</v>
      </c>
      <c r="G79" s="4">
        <v>6</v>
      </c>
      <c r="H79" s="8">
        <v>0.66</v>
      </c>
      <c r="I79" s="4">
        <v>0</v>
      </c>
    </row>
    <row r="80" spans="1:9" x14ac:dyDescent="0.2">
      <c r="A80" s="2">
        <v>11</v>
      </c>
      <c r="B80" s="1" t="s">
        <v>119</v>
      </c>
      <c r="C80" s="4">
        <v>58</v>
      </c>
      <c r="D80" s="8">
        <v>3.15</v>
      </c>
      <c r="E80" s="4">
        <v>8</v>
      </c>
      <c r="F80" s="8">
        <v>0.88</v>
      </c>
      <c r="G80" s="4">
        <v>50</v>
      </c>
      <c r="H80" s="8">
        <v>5.46</v>
      </c>
      <c r="I80" s="4">
        <v>0</v>
      </c>
    </row>
    <row r="81" spans="1:9" x14ac:dyDescent="0.2">
      <c r="A81" s="2">
        <v>12</v>
      </c>
      <c r="B81" s="1" t="s">
        <v>110</v>
      </c>
      <c r="C81" s="4">
        <v>50</v>
      </c>
      <c r="D81" s="8">
        <v>2.72</v>
      </c>
      <c r="E81" s="4">
        <v>30</v>
      </c>
      <c r="F81" s="8">
        <v>3.32</v>
      </c>
      <c r="G81" s="4">
        <v>20</v>
      </c>
      <c r="H81" s="8">
        <v>2.1800000000000002</v>
      </c>
      <c r="I81" s="4">
        <v>0</v>
      </c>
    </row>
    <row r="82" spans="1:9" x14ac:dyDescent="0.2">
      <c r="A82" s="2">
        <v>13</v>
      </c>
      <c r="B82" s="1" t="s">
        <v>106</v>
      </c>
      <c r="C82" s="4">
        <v>46</v>
      </c>
      <c r="D82" s="8">
        <v>2.5</v>
      </c>
      <c r="E82" s="4">
        <v>26</v>
      </c>
      <c r="F82" s="8">
        <v>2.88</v>
      </c>
      <c r="G82" s="4">
        <v>20</v>
      </c>
      <c r="H82" s="8">
        <v>2.1800000000000002</v>
      </c>
      <c r="I82" s="4">
        <v>0</v>
      </c>
    </row>
    <row r="83" spans="1:9" x14ac:dyDescent="0.2">
      <c r="A83" s="2">
        <v>14</v>
      </c>
      <c r="B83" s="1" t="s">
        <v>104</v>
      </c>
      <c r="C83" s="4">
        <v>41</v>
      </c>
      <c r="D83" s="8">
        <v>2.23</v>
      </c>
      <c r="E83" s="4">
        <v>21</v>
      </c>
      <c r="F83" s="8">
        <v>2.3199999999999998</v>
      </c>
      <c r="G83" s="4">
        <v>20</v>
      </c>
      <c r="H83" s="8">
        <v>2.1800000000000002</v>
      </c>
      <c r="I83" s="4">
        <v>0</v>
      </c>
    </row>
    <row r="84" spans="1:9" x14ac:dyDescent="0.2">
      <c r="A84" s="2">
        <v>15</v>
      </c>
      <c r="B84" s="1" t="s">
        <v>111</v>
      </c>
      <c r="C84" s="4">
        <v>39</v>
      </c>
      <c r="D84" s="8">
        <v>2.12</v>
      </c>
      <c r="E84" s="4">
        <v>15</v>
      </c>
      <c r="F84" s="8">
        <v>1.66</v>
      </c>
      <c r="G84" s="4">
        <v>24</v>
      </c>
      <c r="H84" s="8">
        <v>2.62</v>
      </c>
      <c r="I84" s="4">
        <v>0</v>
      </c>
    </row>
    <row r="85" spans="1:9" x14ac:dyDescent="0.2">
      <c r="A85" s="2">
        <v>16</v>
      </c>
      <c r="B85" s="1" t="s">
        <v>101</v>
      </c>
      <c r="C85" s="4">
        <v>35</v>
      </c>
      <c r="D85" s="8">
        <v>1.9</v>
      </c>
      <c r="E85" s="4">
        <v>6</v>
      </c>
      <c r="F85" s="8">
        <v>0.66</v>
      </c>
      <c r="G85" s="4">
        <v>29</v>
      </c>
      <c r="H85" s="8">
        <v>3.17</v>
      </c>
      <c r="I85" s="4">
        <v>0</v>
      </c>
    </row>
    <row r="86" spans="1:9" x14ac:dyDescent="0.2">
      <c r="A86" s="2">
        <v>17</v>
      </c>
      <c r="B86" s="1" t="s">
        <v>118</v>
      </c>
      <c r="C86" s="4">
        <v>26</v>
      </c>
      <c r="D86" s="8">
        <v>1.41</v>
      </c>
      <c r="E86" s="4">
        <v>6</v>
      </c>
      <c r="F86" s="8">
        <v>0.66</v>
      </c>
      <c r="G86" s="4">
        <v>20</v>
      </c>
      <c r="H86" s="8">
        <v>2.1800000000000002</v>
      </c>
      <c r="I86" s="4">
        <v>0</v>
      </c>
    </row>
    <row r="87" spans="1:9" x14ac:dyDescent="0.2">
      <c r="A87" s="2">
        <v>17</v>
      </c>
      <c r="B87" s="1" t="s">
        <v>116</v>
      </c>
      <c r="C87" s="4">
        <v>26</v>
      </c>
      <c r="D87" s="8">
        <v>1.41</v>
      </c>
      <c r="E87" s="4">
        <v>1</v>
      </c>
      <c r="F87" s="8">
        <v>0.11</v>
      </c>
      <c r="G87" s="4">
        <v>23</v>
      </c>
      <c r="H87" s="8">
        <v>2.5099999999999998</v>
      </c>
      <c r="I87" s="4">
        <v>0</v>
      </c>
    </row>
    <row r="88" spans="1:9" x14ac:dyDescent="0.2">
      <c r="A88" s="2">
        <v>19</v>
      </c>
      <c r="B88" s="1" t="s">
        <v>103</v>
      </c>
      <c r="C88" s="4">
        <v>25</v>
      </c>
      <c r="D88" s="8">
        <v>1.36</v>
      </c>
      <c r="E88" s="4">
        <v>7</v>
      </c>
      <c r="F88" s="8">
        <v>0.77</v>
      </c>
      <c r="G88" s="4">
        <v>18</v>
      </c>
      <c r="H88" s="8">
        <v>1.97</v>
      </c>
      <c r="I88" s="4">
        <v>0</v>
      </c>
    </row>
    <row r="89" spans="1:9" x14ac:dyDescent="0.2">
      <c r="A89" s="2">
        <v>20</v>
      </c>
      <c r="B89" s="1" t="s">
        <v>108</v>
      </c>
      <c r="C89" s="4">
        <v>23</v>
      </c>
      <c r="D89" s="8">
        <v>1.25</v>
      </c>
      <c r="E89" s="4">
        <v>5</v>
      </c>
      <c r="F89" s="8">
        <v>0.55000000000000004</v>
      </c>
      <c r="G89" s="4">
        <v>18</v>
      </c>
      <c r="H89" s="8">
        <v>1.97</v>
      </c>
      <c r="I89" s="4">
        <v>0</v>
      </c>
    </row>
    <row r="90" spans="1:9" x14ac:dyDescent="0.2">
      <c r="A90" s="1"/>
      <c r="C90" s="4"/>
      <c r="D90" s="8"/>
      <c r="E90" s="4"/>
      <c r="F90" s="8"/>
      <c r="G90" s="4"/>
      <c r="H90" s="8"/>
      <c r="I90" s="4"/>
    </row>
    <row r="91" spans="1:9" x14ac:dyDescent="0.2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2">
      <c r="A92" s="2">
        <v>1</v>
      </c>
      <c r="B92" s="1" t="s">
        <v>109</v>
      </c>
      <c r="C92" s="4">
        <v>209</v>
      </c>
      <c r="D92" s="8">
        <v>13.77</v>
      </c>
      <c r="E92" s="4">
        <v>147</v>
      </c>
      <c r="F92" s="8">
        <v>17.54</v>
      </c>
      <c r="G92" s="4">
        <v>62</v>
      </c>
      <c r="H92" s="8">
        <v>9.32</v>
      </c>
      <c r="I92" s="4">
        <v>0</v>
      </c>
    </row>
    <row r="93" spans="1:9" x14ac:dyDescent="0.2">
      <c r="A93" s="2">
        <v>2</v>
      </c>
      <c r="B93" s="1" t="s">
        <v>112</v>
      </c>
      <c r="C93" s="4">
        <v>158</v>
      </c>
      <c r="D93" s="8">
        <v>10.41</v>
      </c>
      <c r="E93" s="4">
        <v>140</v>
      </c>
      <c r="F93" s="8">
        <v>16.71</v>
      </c>
      <c r="G93" s="4">
        <v>18</v>
      </c>
      <c r="H93" s="8">
        <v>2.71</v>
      </c>
      <c r="I93" s="4">
        <v>0</v>
      </c>
    </row>
    <row r="94" spans="1:9" x14ac:dyDescent="0.2">
      <c r="A94" s="2">
        <v>3</v>
      </c>
      <c r="B94" s="1" t="s">
        <v>113</v>
      </c>
      <c r="C94" s="4">
        <v>142</v>
      </c>
      <c r="D94" s="8">
        <v>9.35</v>
      </c>
      <c r="E94" s="4">
        <v>124</v>
      </c>
      <c r="F94" s="8">
        <v>14.8</v>
      </c>
      <c r="G94" s="4">
        <v>18</v>
      </c>
      <c r="H94" s="8">
        <v>2.71</v>
      </c>
      <c r="I94" s="4">
        <v>0</v>
      </c>
    </row>
    <row r="95" spans="1:9" x14ac:dyDescent="0.2">
      <c r="A95" s="2">
        <v>4</v>
      </c>
      <c r="B95" s="1" t="s">
        <v>105</v>
      </c>
      <c r="C95" s="4">
        <v>105</v>
      </c>
      <c r="D95" s="8">
        <v>6.92</v>
      </c>
      <c r="E95" s="4">
        <v>86</v>
      </c>
      <c r="F95" s="8">
        <v>10.26</v>
      </c>
      <c r="G95" s="4">
        <v>19</v>
      </c>
      <c r="H95" s="8">
        <v>2.86</v>
      </c>
      <c r="I95" s="4">
        <v>0</v>
      </c>
    </row>
    <row r="96" spans="1:9" x14ac:dyDescent="0.2">
      <c r="A96" s="2">
        <v>5</v>
      </c>
      <c r="B96" s="1" t="s">
        <v>107</v>
      </c>
      <c r="C96" s="4">
        <v>102</v>
      </c>
      <c r="D96" s="8">
        <v>6.72</v>
      </c>
      <c r="E96" s="4">
        <v>56</v>
      </c>
      <c r="F96" s="8">
        <v>6.68</v>
      </c>
      <c r="G96" s="4">
        <v>46</v>
      </c>
      <c r="H96" s="8">
        <v>6.92</v>
      </c>
      <c r="I96" s="4">
        <v>0</v>
      </c>
    </row>
    <row r="97" spans="1:9" x14ac:dyDescent="0.2">
      <c r="A97" s="2">
        <v>6</v>
      </c>
      <c r="B97" s="1" t="s">
        <v>98</v>
      </c>
      <c r="C97" s="4">
        <v>70</v>
      </c>
      <c r="D97" s="8">
        <v>4.6100000000000003</v>
      </c>
      <c r="E97" s="4">
        <v>25</v>
      </c>
      <c r="F97" s="8">
        <v>2.98</v>
      </c>
      <c r="G97" s="4">
        <v>45</v>
      </c>
      <c r="H97" s="8">
        <v>6.77</v>
      </c>
      <c r="I97" s="4">
        <v>0</v>
      </c>
    </row>
    <row r="98" spans="1:9" x14ac:dyDescent="0.2">
      <c r="A98" s="2">
        <v>7</v>
      </c>
      <c r="B98" s="1" t="s">
        <v>100</v>
      </c>
      <c r="C98" s="4">
        <v>58</v>
      </c>
      <c r="D98" s="8">
        <v>3.82</v>
      </c>
      <c r="E98" s="4">
        <v>3</v>
      </c>
      <c r="F98" s="8">
        <v>0.36</v>
      </c>
      <c r="G98" s="4">
        <v>55</v>
      </c>
      <c r="H98" s="8">
        <v>8.27</v>
      </c>
      <c r="I98" s="4">
        <v>0</v>
      </c>
    </row>
    <row r="99" spans="1:9" x14ac:dyDescent="0.2">
      <c r="A99" s="2">
        <v>8</v>
      </c>
      <c r="B99" s="1" t="s">
        <v>115</v>
      </c>
      <c r="C99" s="4">
        <v>53</v>
      </c>
      <c r="D99" s="8">
        <v>3.49</v>
      </c>
      <c r="E99" s="4">
        <v>47</v>
      </c>
      <c r="F99" s="8">
        <v>5.61</v>
      </c>
      <c r="G99" s="4">
        <v>6</v>
      </c>
      <c r="H99" s="8">
        <v>0.9</v>
      </c>
      <c r="I99" s="4">
        <v>0</v>
      </c>
    </row>
    <row r="100" spans="1:9" x14ac:dyDescent="0.2">
      <c r="A100" s="2">
        <v>9</v>
      </c>
      <c r="B100" s="1" t="s">
        <v>99</v>
      </c>
      <c r="C100" s="4">
        <v>52</v>
      </c>
      <c r="D100" s="8">
        <v>3.43</v>
      </c>
      <c r="E100" s="4">
        <v>17</v>
      </c>
      <c r="F100" s="8">
        <v>2.0299999999999998</v>
      </c>
      <c r="G100" s="4">
        <v>35</v>
      </c>
      <c r="H100" s="8">
        <v>5.26</v>
      </c>
      <c r="I100" s="4">
        <v>0</v>
      </c>
    </row>
    <row r="101" spans="1:9" x14ac:dyDescent="0.2">
      <c r="A101" s="2">
        <v>10</v>
      </c>
      <c r="B101" s="1" t="s">
        <v>101</v>
      </c>
      <c r="C101" s="4">
        <v>47</v>
      </c>
      <c r="D101" s="8">
        <v>3.1</v>
      </c>
      <c r="E101" s="4">
        <v>5</v>
      </c>
      <c r="F101" s="8">
        <v>0.6</v>
      </c>
      <c r="G101" s="4">
        <v>42</v>
      </c>
      <c r="H101" s="8">
        <v>6.32</v>
      </c>
      <c r="I101" s="4">
        <v>0</v>
      </c>
    </row>
    <row r="102" spans="1:9" x14ac:dyDescent="0.2">
      <c r="A102" s="2">
        <v>11</v>
      </c>
      <c r="B102" s="1" t="s">
        <v>104</v>
      </c>
      <c r="C102" s="4">
        <v>44</v>
      </c>
      <c r="D102" s="8">
        <v>2.9</v>
      </c>
      <c r="E102" s="4">
        <v>27</v>
      </c>
      <c r="F102" s="8">
        <v>3.22</v>
      </c>
      <c r="G102" s="4">
        <v>17</v>
      </c>
      <c r="H102" s="8">
        <v>2.56</v>
      </c>
      <c r="I102" s="4">
        <v>0</v>
      </c>
    </row>
    <row r="103" spans="1:9" x14ac:dyDescent="0.2">
      <c r="A103" s="2">
        <v>11</v>
      </c>
      <c r="B103" s="1" t="s">
        <v>114</v>
      </c>
      <c r="C103" s="4">
        <v>44</v>
      </c>
      <c r="D103" s="8">
        <v>2.9</v>
      </c>
      <c r="E103" s="4">
        <v>34</v>
      </c>
      <c r="F103" s="8">
        <v>4.0599999999999996</v>
      </c>
      <c r="G103" s="4">
        <v>10</v>
      </c>
      <c r="H103" s="8">
        <v>1.5</v>
      </c>
      <c r="I103" s="4">
        <v>0</v>
      </c>
    </row>
    <row r="104" spans="1:9" x14ac:dyDescent="0.2">
      <c r="A104" s="2">
        <v>13</v>
      </c>
      <c r="B104" s="1" t="s">
        <v>102</v>
      </c>
      <c r="C104" s="4">
        <v>31</v>
      </c>
      <c r="D104" s="8">
        <v>2.04</v>
      </c>
      <c r="E104" s="4">
        <v>2</v>
      </c>
      <c r="F104" s="8">
        <v>0.24</v>
      </c>
      <c r="G104" s="4">
        <v>29</v>
      </c>
      <c r="H104" s="8">
        <v>4.3600000000000003</v>
      </c>
      <c r="I104" s="4">
        <v>0</v>
      </c>
    </row>
    <row r="105" spans="1:9" x14ac:dyDescent="0.2">
      <c r="A105" s="2">
        <v>14</v>
      </c>
      <c r="B105" s="1" t="s">
        <v>110</v>
      </c>
      <c r="C105" s="4">
        <v>28</v>
      </c>
      <c r="D105" s="8">
        <v>1.84</v>
      </c>
      <c r="E105" s="4">
        <v>18</v>
      </c>
      <c r="F105" s="8">
        <v>2.15</v>
      </c>
      <c r="G105" s="4">
        <v>10</v>
      </c>
      <c r="H105" s="8">
        <v>1.5</v>
      </c>
      <c r="I105" s="4">
        <v>0</v>
      </c>
    </row>
    <row r="106" spans="1:9" x14ac:dyDescent="0.2">
      <c r="A106" s="2">
        <v>15</v>
      </c>
      <c r="B106" s="1" t="s">
        <v>116</v>
      </c>
      <c r="C106" s="4">
        <v>27</v>
      </c>
      <c r="D106" s="8">
        <v>1.78</v>
      </c>
      <c r="E106" s="4">
        <v>0</v>
      </c>
      <c r="F106" s="8">
        <v>0</v>
      </c>
      <c r="G106" s="4">
        <v>26</v>
      </c>
      <c r="H106" s="8">
        <v>3.91</v>
      </c>
      <c r="I106" s="4">
        <v>0</v>
      </c>
    </row>
    <row r="107" spans="1:9" x14ac:dyDescent="0.2">
      <c r="A107" s="2">
        <v>16</v>
      </c>
      <c r="B107" s="1" t="s">
        <v>106</v>
      </c>
      <c r="C107" s="4">
        <v>26</v>
      </c>
      <c r="D107" s="8">
        <v>1.71</v>
      </c>
      <c r="E107" s="4">
        <v>16</v>
      </c>
      <c r="F107" s="8">
        <v>1.91</v>
      </c>
      <c r="G107" s="4">
        <v>10</v>
      </c>
      <c r="H107" s="8">
        <v>1.5</v>
      </c>
      <c r="I107" s="4">
        <v>0</v>
      </c>
    </row>
    <row r="108" spans="1:9" x14ac:dyDescent="0.2">
      <c r="A108" s="2">
        <v>17</v>
      </c>
      <c r="B108" s="1" t="s">
        <v>108</v>
      </c>
      <c r="C108" s="4">
        <v>25</v>
      </c>
      <c r="D108" s="8">
        <v>1.65</v>
      </c>
      <c r="E108" s="4">
        <v>7</v>
      </c>
      <c r="F108" s="8">
        <v>0.84</v>
      </c>
      <c r="G108" s="4">
        <v>18</v>
      </c>
      <c r="H108" s="8">
        <v>2.71</v>
      </c>
      <c r="I108" s="4">
        <v>0</v>
      </c>
    </row>
    <row r="109" spans="1:9" x14ac:dyDescent="0.2">
      <c r="A109" s="2">
        <v>18</v>
      </c>
      <c r="B109" s="1" t="s">
        <v>111</v>
      </c>
      <c r="C109" s="4">
        <v>24</v>
      </c>
      <c r="D109" s="8">
        <v>1.58</v>
      </c>
      <c r="E109" s="4">
        <v>10</v>
      </c>
      <c r="F109" s="8">
        <v>1.19</v>
      </c>
      <c r="G109" s="4">
        <v>14</v>
      </c>
      <c r="H109" s="8">
        <v>2.11</v>
      </c>
      <c r="I109" s="4">
        <v>0</v>
      </c>
    </row>
    <row r="110" spans="1:9" x14ac:dyDescent="0.2">
      <c r="A110" s="2">
        <v>19</v>
      </c>
      <c r="B110" s="1" t="s">
        <v>121</v>
      </c>
      <c r="C110" s="4">
        <v>20</v>
      </c>
      <c r="D110" s="8">
        <v>1.32</v>
      </c>
      <c r="E110" s="4">
        <v>9</v>
      </c>
      <c r="F110" s="8">
        <v>1.07</v>
      </c>
      <c r="G110" s="4">
        <v>11</v>
      </c>
      <c r="H110" s="8">
        <v>1.65</v>
      </c>
      <c r="I110" s="4">
        <v>0</v>
      </c>
    </row>
    <row r="111" spans="1:9" x14ac:dyDescent="0.2">
      <c r="A111" s="2">
        <v>20</v>
      </c>
      <c r="B111" s="1" t="s">
        <v>117</v>
      </c>
      <c r="C111" s="4">
        <v>19</v>
      </c>
      <c r="D111" s="8">
        <v>1.25</v>
      </c>
      <c r="E111" s="4">
        <v>1</v>
      </c>
      <c r="F111" s="8">
        <v>0.12</v>
      </c>
      <c r="G111" s="4">
        <v>17</v>
      </c>
      <c r="H111" s="8">
        <v>2.56</v>
      </c>
      <c r="I111" s="4">
        <v>1</v>
      </c>
    </row>
    <row r="112" spans="1:9" x14ac:dyDescent="0.2">
      <c r="A112" s="1"/>
      <c r="C112" s="4"/>
      <c r="D112" s="8"/>
      <c r="E112" s="4"/>
      <c r="F112" s="8"/>
      <c r="G112" s="4"/>
      <c r="H112" s="8"/>
      <c r="I112" s="4"/>
    </row>
    <row r="113" spans="1:9" x14ac:dyDescent="0.2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2">
      <c r="A114" s="2">
        <v>1</v>
      </c>
      <c r="B114" s="1" t="s">
        <v>112</v>
      </c>
      <c r="C114" s="4">
        <v>945</v>
      </c>
      <c r="D114" s="8">
        <v>15.33</v>
      </c>
      <c r="E114" s="4">
        <v>815</v>
      </c>
      <c r="F114" s="8">
        <v>28.79</v>
      </c>
      <c r="G114" s="4">
        <v>130</v>
      </c>
      <c r="H114" s="8">
        <v>3.94</v>
      </c>
      <c r="I114" s="4">
        <v>0</v>
      </c>
    </row>
    <row r="115" spans="1:9" x14ac:dyDescent="0.2">
      <c r="A115" s="2">
        <v>2</v>
      </c>
      <c r="B115" s="1" t="s">
        <v>109</v>
      </c>
      <c r="C115" s="4">
        <v>593</v>
      </c>
      <c r="D115" s="8">
        <v>9.6199999999999992</v>
      </c>
      <c r="E115" s="4">
        <v>244</v>
      </c>
      <c r="F115" s="8">
        <v>8.6199999999999992</v>
      </c>
      <c r="G115" s="4">
        <v>348</v>
      </c>
      <c r="H115" s="8">
        <v>10.56</v>
      </c>
      <c r="I115" s="4">
        <v>1</v>
      </c>
    </row>
    <row r="116" spans="1:9" x14ac:dyDescent="0.2">
      <c r="A116" s="2">
        <v>3</v>
      </c>
      <c r="B116" s="1" t="s">
        <v>113</v>
      </c>
      <c r="C116" s="4">
        <v>540</v>
      </c>
      <c r="D116" s="8">
        <v>8.76</v>
      </c>
      <c r="E116" s="4">
        <v>413</v>
      </c>
      <c r="F116" s="8">
        <v>14.59</v>
      </c>
      <c r="G116" s="4">
        <v>127</v>
      </c>
      <c r="H116" s="8">
        <v>3.85</v>
      </c>
      <c r="I116" s="4">
        <v>0</v>
      </c>
    </row>
    <row r="117" spans="1:9" x14ac:dyDescent="0.2">
      <c r="A117" s="2">
        <v>4</v>
      </c>
      <c r="B117" s="1" t="s">
        <v>107</v>
      </c>
      <c r="C117" s="4">
        <v>437</v>
      </c>
      <c r="D117" s="8">
        <v>7.09</v>
      </c>
      <c r="E117" s="4">
        <v>196</v>
      </c>
      <c r="F117" s="8">
        <v>6.92</v>
      </c>
      <c r="G117" s="4">
        <v>239</v>
      </c>
      <c r="H117" s="8">
        <v>7.25</v>
      </c>
      <c r="I117" s="4">
        <v>2</v>
      </c>
    </row>
    <row r="118" spans="1:9" x14ac:dyDescent="0.2">
      <c r="A118" s="2">
        <v>5</v>
      </c>
      <c r="B118" s="1" t="s">
        <v>105</v>
      </c>
      <c r="C118" s="4">
        <v>343</v>
      </c>
      <c r="D118" s="8">
        <v>5.56</v>
      </c>
      <c r="E118" s="4">
        <v>216</v>
      </c>
      <c r="F118" s="8">
        <v>7.63</v>
      </c>
      <c r="G118" s="4">
        <v>127</v>
      </c>
      <c r="H118" s="8">
        <v>3.85</v>
      </c>
      <c r="I118" s="4">
        <v>0</v>
      </c>
    </row>
    <row r="119" spans="1:9" x14ac:dyDescent="0.2">
      <c r="A119" s="2">
        <v>6</v>
      </c>
      <c r="B119" s="1" t="s">
        <v>110</v>
      </c>
      <c r="C119" s="4">
        <v>252</v>
      </c>
      <c r="D119" s="8">
        <v>4.09</v>
      </c>
      <c r="E119" s="4">
        <v>155</v>
      </c>
      <c r="F119" s="8">
        <v>5.48</v>
      </c>
      <c r="G119" s="4">
        <v>97</v>
      </c>
      <c r="H119" s="8">
        <v>2.94</v>
      </c>
      <c r="I119" s="4">
        <v>0</v>
      </c>
    </row>
    <row r="120" spans="1:9" x14ac:dyDescent="0.2">
      <c r="A120" s="2">
        <v>7</v>
      </c>
      <c r="B120" s="1" t="s">
        <v>98</v>
      </c>
      <c r="C120" s="4">
        <v>242</v>
      </c>
      <c r="D120" s="8">
        <v>3.92</v>
      </c>
      <c r="E120" s="4">
        <v>13</v>
      </c>
      <c r="F120" s="8">
        <v>0.46</v>
      </c>
      <c r="G120" s="4">
        <v>229</v>
      </c>
      <c r="H120" s="8">
        <v>6.95</v>
      </c>
      <c r="I120" s="4">
        <v>0</v>
      </c>
    </row>
    <row r="121" spans="1:9" x14ac:dyDescent="0.2">
      <c r="A121" s="2">
        <v>8</v>
      </c>
      <c r="B121" s="1" t="s">
        <v>104</v>
      </c>
      <c r="C121" s="4">
        <v>236</v>
      </c>
      <c r="D121" s="8">
        <v>3.83</v>
      </c>
      <c r="E121" s="4">
        <v>98</v>
      </c>
      <c r="F121" s="8">
        <v>3.46</v>
      </c>
      <c r="G121" s="4">
        <v>136</v>
      </c>
      <c r="H121" s="8">
        <v>4.13</v>
      </c>
      <c r="I121" s="4">
        <v>2</v>
      </c>
    </row>
    <row r="122" spans="1:9" x14ac:dyDescent="0.2">
      <c r="A122" s="2">
        <v>9</v>
      </c>
      <c r="B122" s="1" t="s">
        <v>115</v>
      </c>
      <c r="C122" s="4">
        <v>204</v>
      </c>
      <c r="D122" s="8">
        <v>3.31</v>
      </c>
      <c r="E122" s="4">
        <v>179</v>
      </c>
      <c r="F122" s="8">
        <v>6.32</v>
      </c>
      <c r="G122" s="4">
        <v>25</v>
      </c>
      <c r="H122" s="8">
        <v>0.76</v>
      </c>
      <c r="I122" s="4">
        <v>0</v>
      </c>
    </row>
    <row r="123" spans="1:9" x14ac:dyDescent="0.2">
      <c r="A123" s="2">
        <v>10</v>
      </c>
      <c r="B123" s="1" t="s">
        <v>100</v>
      </c>
      <c r="C123" s="4">
        <v>177</v>
      </c>
      <c r="D123" s="8">
        <v>2.87</v>
      </c>
      <c r="E123" s="4">
        <v>20</v>
      </c>
      <c r="F123" s="8">
        <v>0.71</v>
      </c>
      <c r="G123" s="4">
        <v>157</v>
      </c>
      <c r="H123" s="8">
        <v>4.76</v>
      </c>
      <c r="I123" s="4">
        <v>0</v>
      </c>
    </row>
    <row r="124" spans="1:9" x14ac:dyDescent="0.2">
      <c r="A124" s="2">
        <v>11</v>
      </c>
      <c r="B124" s="1" t="s">
        <v>102</v>
      </c>
      <c r="C124" s="4">
        <v>159</v>
      </c>
      <c r="D124" s="8">
        <v>2.58</v>
      </c>
      <c r="E124" s="4">
        <v>7</v>
      </c>
      <c r="F124" s="8">
        <v>0.25</v>
      </c>
      <c r="G124" s="4">
        <v>152</v>
      </c>
      <c r="H124" s="8">
        <v>4.6100000000000003</v>
      </c>
      <c r="I124" s="4">
        <v>0</v>
      </c>
    </row>
    <row r="125" spans="1:9" x14ac:dyDescent="0.2">
      <c r="A125" s="2">
        <v>12</v>
      </c>
      <c r="B125" s="1" t="s">
        <v>99</v>
      </c>
      <c r="C125" s="4">
        <v>150</v>
      </c>
      <c r="D125" s="8">
        <v>2.4300000000000002</v>
      </c>
      <c r="E125" s="4">
        <v>35</v>
      </c>
      <c r="F125" s="8">
        <v>1.24</v>
      </c>
      <c r="G125" s="4">
        <v>115</v>
      </c>
      <c r="H125" s="8">
        <v>3.49</v>
      </c>
      <c r="I125" s="4">
        <v>0</v>
      </c>
    </row>
    <row r="126" spans="1:9" x14ac:dyDescent="0.2">
      <c r="A126" s="2">
        <v>13</v>
      </c>
      <c r="B126" s="1" t="s">
        <v>114</v>
      </c>
      <c r="C126" s="4">
        <v>148</v>
      </c>
      <c r="D126" s="8">
        <v>2.4</v>
      </c>
      <c r="E126" s="4">
        <v>89</v>
      </c>
      <c r="F126" s="8">
        <v>3.14</v>
      </c>
      <c r="G126" s="4">
        <v>56</v>
      </c>
      <c r="H126" s="8">
        <v>1.7</v>
      </c>
      <c r="I126" s="4">
        <v>1</v>
      </c>
    </row>
    <row r="127" spans="1:9" x14ac:dyDescent="0.2">
      <c r="A127" s="2">
        <v>14</v>
      </c>
      <c r="B127" s="1" t="s">
        <v>103</v>
      </c>
      <c r="C127" s="4">
        <v>120</v>
      </c>
      <c r="D127" s="8">
        <v>1.95</v>
      </c>
      <c r="E127" s="4">
        <v>15</v>
      </c>
      <c r="F127" s="8">
        <v>0.53</v>
      </c>
      <c r="G127" s="4">
        <v>105</v>
      </c>
      <c r="H127" s="8">
        <v>3.19</v>
      </c>
      <c r="I127" s="4">
        <v>0</v>
      </c>
    </row>
    <row r="128" spans="1:9" x14ac:dyDescent="0.2">
      <c r="A128" s="2">
        <v>15</v>
      </c>
      <c r="B128" s="1" t="s">
        <v>108</v>
      </c>
      <c r="C128" s="4">
        <v>108</v>
      </c>
      <c r="D128" s="8">
        <v>1.75</v>
      </c>
      <c r="E128" s="4">
        <v>10</v>
      </c>
      <c r="F128" s="8">
        <v>0.35</v>
      </c>
      <c r="G128" s="4">
        <v>98</v>
      </c>
      <c r="H128" s="8">
        <v>2.97</v>
      </c>
      <c r="I128" s="4">
        <v>0</v>
      </c>
    </row>
    <row r="129" spans="1:9" x14ac:dyDescent="0.2">
      <c r="A129" s="2">
        <v>15</v>
      </c>
      <c r="B129" s="1" t="s">
        <v>111</v>
      </c>
      <c r="C129" s="4">
        <v>108</v>
      </c>
      <c r="D129" s="8">
        <v>1.75</v>
      </c>
      <c r="E129" s="4">
        <v>26</v>
      </c>
      <c r="F129" s="8">
        <v>0.92</v>
      </c>
      <c r="G129" s="4">
        <v>82</v>
      </c>
      <c r="H129" s="8">
        <v>2.4900000000000002</v>
      </c>
      <c r="I129" s="4">
        <v>0</v>
      </c>
    </row>
    <row r="130" spans="1:9" x14ac:dyDescent="0.2">
      <c r="A130" s="2">
        <v>17</v>
      </c>
      <c r="B130" s="1" t="s">
        <v>118</v>
      </c>
      <c r="C130" s="4">
        <v>101</v>
      </c>
      <c r="D130" s="8">
        <v>1.64</v>
      </c>
      <c r="E130" s="4">
        <v>43</v>
      </c>
      <c r="F130" s="8">
        <v>1.52</v>
      </c>
      <c r="G130" s="4">
        <v>58</v>
      </c>
      <c r="H130" s="8">
        <v>1.76</v>
      </c>
      <c r="I130" s="4">
        <v>0</v>
      </c>
    </row>
    <row r="131" spans="1:9" x14ac:dyDescent="0.2">
      <c r="A131" s="2">
        <v>18</v>
      </c>
      <c r="B131" s="1" t="s">
        <v>101</v>
      </c>
      <c r="C131" s="4">
        <v>99</v>
      </c>
      <c r="D131" s="8">
        <v>1.61</v>
      </c>
      <c r="E131" s="4">
        <v>6</v>
      </c>
      <c r="F131" s="8">
        <v>0.21</v>
      </c>
      <c r="G131" s="4">
        <v>93</v>
      </c>
      <c r="H131" s="8">
        <v>2.82</v>
      </c>
      <c r="I131" s="4">
        <v>0</v>
      </c>
    </row>
    <row r="132" spans="1:9" x14ac:dyDescent="0.2">
      <c r="A132" s="2">
        <v>19</v>
      </c>
      <c r="B132" s="1" t="s">
        <v>117</v>
      </c>
      <c r="C132" s="4">
        <v>97</v>
      </c>
      <c r="D132" s="8">
        <v>1.57</v>
      </c>
      <c r="E132" s="4">
        <v>4</v>
      </c>
      <c r="F132" s="8">
        <v>0.14000000000000001</v>
      </c>
      <c r="G132" s="4">
        <v>90</v>
      </c>
      <c r="H132" s="8">
        <v>2.73</v>
      </c>
      <c r="I132" s="4">
        <v>3</v>
      </c>
    </row>
    <row r="133" spans="1:9" x14ac:dyDescent="0.2">
      <c r="A133" s="2">
        <v>20</v>
      </c>
      <c r="B133" s="1" t="s">
        <v>122</v>
      </c>
      <c r="C133" s="4">
        <v>89</v>
      </c>
      <c r="D133" s="8">
        <v>1.44</v>
      </c>
      <c r="E133" s="4">
        <v>5</v>
      </c>
      <c r="F133" s="8">
        <v>0.18</v>
      </c>
      <c r="G133" s="4">
        <v>84</v>
      </c>
      <c r="H133" s="8">
        <v>2.5499999999999998</v>
      </c>
      <c r="I133" s="4">
        <v>0</v>
      </c>
    </row>
    <row r="134" spans="1:9" x14ac:dyDescent="0.2">
      <c r="A134" s="1"/>
      <c r="C134" s="4"/>
      <c r="D134" s="8"/>
      <c r="E134" s="4"/>
      <c r="F134" s="8"/>
      <c r="G134" s="4"/>
      <c r="H134" s="8"/>
      <c r="I134" s="4"/>
    </row>
    <row r="135" spans="1:9" x14ac:dyDescent="0.2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2">
      <c r="A136" s="2">
        <v>1</v>
      </c>
      <c r="B136" s="1" t="s">
        <v>113</v>
      </c>
      <c r="C136" s="4">
        <v>365</v>
      </c>
      <c r="D136" s="8">
        <v>10.1</v>
      </c>
      <c r="E136" s="4">
        <v>288</v>
      </c>
      <c r="F136" s="8">
        <v>17.97</v>
      </c>
      <c r="G136" s="4">
        <v>77</v>
      </c>
      <c r="H136" s="8">
        <v>3.89</v>
      </c>
      <c r="I136" s="4">
        <v>0</v>
      </c>
    </row>
    <row r="137" spans="1:9" x14ac:dyDescent="0.2">
      <c r="A137" s="2">
        <v>2</v>
      </c>
      <c r="B137" s="1" t="s">
        <v>109</v>
      </c>
      <c r="C137" s="4">
        <v>316</v>
      </c>
      <c r="D137" s="8">
        <v>8.74</v>
      </c>
      <c r="E137" s="4">
        <v>161</v>
      </c>
      <c r="F137" s="8">
        <v>10.039999999999999</v>
      </c>
      <c r="G137" s="4">
        <v>155</v>
      </c>
      <c r="H137" s="8">
        <v>7.84</v>
      </c>
      <c r="I137" s="4">
        <v>0</v>
      </c>
    </row>
    <row r="138" spans="1:9" x14ac:dyDescent="0.2">
      <c r="A138" s="2">
        <v>3</v>
      </c>
      <c r="B138" s="1" t="s">
        <v>98</v>
      </c>
      <c r="C138" s="4">
        <v>304</v>
      </c>
      <c r="D138" s="8">
        <v>8.41</v>
      </c>
      <c r="E138" s="4">
        <v>58</v>
      </c>
      <c r="F138" s="8">
        <v>3.62</v>
      </c>
      <c r="G138" s="4">
        <v>246</v>
      </c>
      <c r="H138" s="8">
        <v>12.44</v>
      </c>
      <c r="I138" s="4">
        <v>0</v>
      </c>
    </row>
    <row r="139" spans="1:9" x14ac:dyDescent="0.2">
      <c r="A139" s="2">
        <v>4</v>
      </c>
      <c r="B139" s="1" t="s">
        <v>100</v>
      </c>
      <c r="C139" s="4">
        <v>226</v>
      </c>
      <c r="D139" s="8">
        <v>6.25</v>
      </c>
      <c r="E139" s="4">
        <v>38</v>
      </c>
      <c r="F139" s="8">
        <v>2.37</v>
      </c>
      <c r="G139" s="4">
        <v>188</v>
      </c>
      <c r="H139" s="8">
        <v>9.51</v>
      </c>
      <c r="I139" s="4">
        <v>0</v>
      </c>
    </row>
    <row r="140" spans="1:9" x14ac:dyDescent="0.2">
      <c r="A140" s="2">
        <v>5</v>
      </c>
      <c r="B140" s="1" t="s">
        <v>112</v>
      </c>
      <c r="C140" s="4">
        <v>210</v>
      </c>
      <c r="D140" s="8">
        <v>5.81</v>
      </c>
      <c r="E140" s="4">
        <v>176</v>
      </c>
      <c r="F140" s="8">
        <v>10.98</v>
      </c>
      <c r="G140" s="4">
        <v>34</v>
      </c>
      <c r="H140" s="8">
        <v>1.72</v>
      </c>
      <c r="I140" s="4">
        <v>0</v>
      </c>
    </row>
    <row r="141" spans="1:9" x14ac:dyDescent="0.2">
      <c r="A141" s="2">
        <v>6</v>
      </c>
      <c r="B141" s="1" t="s">
        <v>99</v>
      </c>
      <c r="C141" s="4">
        <v>209</v>
      </c>
      <c r="D141" s="8">
        <v>5.78</v>
      </c>
      <c r="E141" s="4">
        <v>52</v>
      </c>
      <c r="F141" s="8">
        <v>3.24</v>
      </c>
      <c r="G141" s="4">
        <v>157</v>
      </c>
      <c r="H141" s="8">
        <v>7.94</v>
      </c>
      <c r="I141" s="4">
        <v>0</v>
      </c>
    </row>
    <row r="142" spans="1:9" x14ac:dyDescent="0.2">
      <c r="A142" s="2">
        <v>7</v>
      </c>
      <c r="B142" s="1" t="s">
        <v>107</v>
      </c>
      <c r="C142" s="4">
        <v>207</v>
      </c>
      <c r="D142" s="8">
        <v>5.73</v>
      </c>
      <c r="E142" s="4">
        <v>84</v>
      </c>
      <c r="F142" s="8">
        <v>5.24</v>
      </c>
      <c r="G142" s="4">
        <v>122</v>
      </c>
      <c r="H142" s="8">
        <v>6.17</v>
      </c>
      <c r="I142" s="4">
        <v>1</v>
      </c>
    </row>
    <row r="143" spans="1:9" x14ac:dyDescent="0.2">
      <c r="A143" s="2">
        <v>8</v>
      </c>
      <c r="B143" s="1" t="s">
        <v>105</v>
      </c>
      <c r="C143" s="4">
        <v>171</v>
      </c>
      <c r="D143" s="8">
        <v>4.7300000000000004</v>
      </c>
      <c r="E143" s="4">
        <v>118</v>
      </c>
      <c r="F143" s="8">
        <v>7.36</v>
      </c>
      <c r="G143" s="4">
        <v>53</v>
      </c>
      <c r="H143" s="8">
        <v>2.68</v>
      </c>
      <c r="I143" s="4">
        <v>0</v>
      </c>
    </row>
    <row r="144" spans="1:9" x14ac:dyDescent="0.2">
      <c r="A144" s="2">
        <v>9</v>
      </c>
      <c r="B144" s="1" t="s">
        <v>115</v>
      </c>
      <c r="C144" s="4">
        <v>149</v>
      </c>
      <c r="D144" s="8">
        <v>4.12</v>
      </c>
      <c r="E144" s="4">
        <v>127</v>
      </c>
      <c r="F144" s="8">
        <v>7.92</v>
      </c>
      <c r="G144" s="4">
        <v>22</v>
      </c>
      <c r="H144" s="8">
        <v>1.1100000000000001</v>
      </c>
      <c r="I144" s="4">
        <v>0</v>
      </c>
    </row>
    <row r="145" spans="1:9" x14ac:dyDescent="0.2">
      <c r="A145" s="2">
        <v>10</v>
      </c>
      <c r="B145" s="1" t="s">
        <v>114</v>
      </c>
      <c r="C145" s="4">
        <v>139</v>
      </c>
      <c r="D145" s="8">
        <v>3.85</v>
      </c>
      <c r="E145" s="4">
        <v>95</v>
      </c>
      <c r="F145" s="8">
        <v>5.93</v>
      </c>
      <c r="G145" s="4">
        <v>41</v>
      </c>
      <c r="H145" s="8">
        <v>2.0699999999999998</v>
      </c>
      <c r="I145" s="4">
        <v>3</v>
      </c>
    </row>
    <row r="146" spans="1:9" x14ac:dyDescent="0.2">
      <c r="A146" s="2">
        <v>11</v>
      </c>
      <c r="B146" s="1" t="s">
        <v>106</v>
      </c>
      <c r="C146" s="4">
        <v>123</v>
      </c>
      <c r="D146" s="8">
        <v>3.4</v>
      </c>
      <c r="E146" s="4">
        <v>63</v>
      </c>
      <c r="F146" s="8">
        <v>3.93</v>
      </c>
      <c r="G146" s="4">
        <v>60</v>
      </c>
      <c r="H146" s="8">
        <v>3.03</v>
      </c>
      <c r="I146" s="4">
        <v>0</v>
      </c>
    </row>
    <row r="147" spans="1:9" x14ac:dyDescent="0.2">
      <c r="A147" s="2">
        <v>12</v>
      </c>
      <c r="B147" s="1" t="s">
        <v>102</v>
      </c>
      <c r="C147" s="4">
        <v>93</v>
      </c>
      <c r="D147" s="8">
        <v>2.57</v>
      </c>
      <c r="E147" s="4">
        <v>7</v>
      </c>
      <c r="F147" s="8">
        <v>0.44</v>
      </c>
      <c r="G147" s="4">
        <v>86</v>
      </c>
      <c r="H147" s="8">
        <v>4.3499999999999996</v>
      </c>
      <c r="I147" s="4">
        <v>0</v>
      </c>
    </row>
    <row r="148" spans="1:9" x14ac:dyDescent="0.2">
      <c r="A148" s="2">
        <v>13</v>
      </c>
      <c r="B148" s="1" t="s">
        <v>110</v>
      </c>
      <c r="C148" s="4">
        <v>87</v>
      </c>
      <c r="D148" s="8">
        <v>2.41</v>
      </c>
      <c r="E148" s="4">
        <v>50</v>
      </c>
      <c r="F148" s="8">
        <v>3.12</v>
      </c>
      <c r="G148" s="4">
        <v>37</v>
      </c>
      <c r="H148" s="8">
        <v>1.87</v>
      </c>
      <c r="I148" s="4">
        <v>0</v>
      </c>
    </row>
    <row r="149" spans="1:9" x14ac:dyDescent="0.2">
      <c r="A149" s="2">
        <v>14</v>
      </c>
      <c r="B149" s="1" t="s">
        <v>116</v>
      </c>
      <c r="C149" s="4">
        <v>72</v>
      </c>
      <c r="D149" s="8">
        <v>1.99</v>
      </c>
      <c r="E149" s="4">
        <v>3</v>
      </c>
      <c r="F149" s="8">
        <v>0.19</v>
      </c>
      <c r="G149" s="4">
        <v>66</v>
      </c>
      <c r="H149" s="8">
        <v>3.34</v>
      </c>
      <c r="I149" s="4">
        <v>1</v>
      </c>
    </row>
    <row r="150" spans="1:9" x14ac:dyDescent="0.2">
      <c r="A150" s="2">
        <v>15</v>
      </c>
      <c r="B150" s="1" t="s">
        <v>108</v>
      </c>
      <c r="C150" s="4">
        <v>70</v>
      </c>
      <c r="D150" s="8">
        <v>1.94</v>
      </c>
      <c r="E150" s="4">
        <v>11</v>
      </c>
      <c r="F150" s="8">
        <v>0.69</v>
      </c>
      <c r="G150" s="4">
        <v>59</v>
      </c>
      <c r="H150" s="8">
        <v>2.98</v>
      </c>
      <c r="I150" s="4">
        <v>0</v>
      </c>
    </row>
    <row r="151" spans="1:9" x14ac:dyDescent="0.2">
      <c r="A151" s="2">
        <v>16</v>
      </c>
      <c r="B151" s="1" t="s">
        <v>111</v>
      </c>
      <c r="C151" s="4">
        <v>67</v>
      </c>
      <c r="D151" s="8">
        <v>1.85</v>
      </c>
      <c r="E151" s="4">
        <v>30</v>
      </c>
      <c r="F151" s="8">
        <v>1.87</v>
      </c>
      <c r="G151" s="4">
        <v>37</v>
      </c>
      <c r="H151" s="8">
        <v>1.87</v>
      </c>
      <c r="I151" s="4">
        <v>0</v>
      </c>
    </row>
    <row r="152" spans="1:9" x14ac:dyDescent="0.2">
      <c r="A152" s="2">
        <v>17</v>
      </c>
      <c r="B152" s="1" t="s">
        <v>104</v>
      </c>
      <c r="C152" s="4">
        <v>62</v>
      </c>
      <c r="D152" s="8">
        <v>1.72</v>
      </c>
      <c r="E152" s="4">
        <v>25</v>
      </c>
      <c r="F152" s="8">
        <v>1.56</v>
      </c>
      <c r="G152" s="4">
        <v>37</v>
      </c>
      <c r="H152" s="8">
        <v>1.87</v>
      </c>
      <c r="I152" s="4">
        <v>0</v>
      </c>
    </row>
    <row r="153" spans="1:9" x14ac:dyDescent="0.2">
      <c r="A153" s="2">
        <v>18</v>
      </c>
      <c r="B153" s="1" t="s">
        <v>123</v>
      </c>
      <c r="C153" s="4">
        <v>59</v>
      </c>
      <c r="D153" s="8">
        <v>1.63</v>
      </c>
      <c r="E153" s="4">
        <v>41</v>
      </c>
      <c r="F153" s="8">
        <v>2.56</v>
      </c>
      <c r="G153" s="4">
        <v>18</v>
      </c>
      <c r="H153" s="8">
        <v>0.91</v>
      </c>
      <c r="I153" s="4">
        <v>0</v>
      </c>
    </row>
    <row r="154" spans="1:9" x14ac:dyDescent="0.2">
      <c r="A154" s="2">
        <v>19</v>
      </c>
      <c r="B154" s="1" t="s">
        <v>118</v>
      </c>
      <c r="C154" s="4">
        <v>58</v>
      </c>
      <c r="D154" s="8">
        <v>1.6</v>
      </c>
      <c r="E154" s="4">
        <v>27</v>
      </c>
      <c r="F154" s="8">
        <v>1.68</v>
      </c>
      <c r="G154" s="4">
        <v>31</v>
      </c>
      <c r="H154" s="8">
        <v>1.57</v>
      </c>
      <c r="I154" s="4">
        <v>0</v>
      </c>
    </row>
    <row r="155" spans="1:9" x14ac:dyDescent="0.2">
      <c r="A155" s="2">
        <v>20</v>
      </c>
      <c r="B155" s="1" t="s">
        <v>101</v>
      </c>
      <c r="C155" s="4">
        <v>56</v>
      </c>
      <c r="D155" s="8">
        <v>1.55</v>
      </c>
      <c r="E155" s="4">
        <v>7</v>
      </c>
      <c r="F155" s="8">
        <v>0.44</v>
      </c>
      <c r="G155" s="4">
        <v>49</v>
      </c>
      <c r="H155" s="8">
        <v>2.48</v>
      </c>
      <c r="I155" s="4">
        <v>0</v>
      </c>
    </row>
    <row r="156" spans="1:9" x14ac:dyDescent="0.2">
      <c r="A156" s="1"/>
      <c r="C156" s="4"/>
      <c r="D156" s="8"/>
      <c r="E156" s="4"/>
      <c r="F156" s="8"/>
      <c r="G156" s="4"/>
      <c r="H156" s="8"/>
      <c r="I156" s="4"/>
    </row>
    <row r="157" spans="1:9" x14ac:dyDescent="0.2">
      <c r="A157" s="1" t="s">
        <v>7</v>
      </c>
      <c r="C157" s="4"/>
      <c r="D157" s="8"/>
      <c r="E157" s="4"/>
      <c r="F157" s="8"/>
      <c r="G157" s="4"/>
      <c r="H157" s="8"/>
      <c r="I157" s="4"/>
    </row>
    <row r="158" spans="1:9" x14ac:dyDescent="0.2">
      <c r="A158" s="2">
        <v>1</v>
      </c>
      <c r="B158" s="1" t="s">
        <v>109</v>
      </c>
      <c r="C158" s="4">
        <v>193</v>
      </c>
      <c r="D158" s="8">
        <v>11.39</v>
      </c>
      <c r="E158" s="4">
        <v>126</v>
      </c>
      <c r="F158" s="8">
        <v>13.31</v>
      </c>
      <c r="G158" s="4">
        <v>67</v>
      </c>
      <c r="H158" s="8">
        <v>9.17</v>
      </c>
      <c r="I158" s="4">
        <v>0</v>
      </c>
    </row>
    <row r="159" spans="1:9" x14ac:dyDescent="0.2">
      <c r="A159" s="2">
        <v>2</v>
      </c>
      <c r="B159" s="1" t="s">
        <v>112</v>
      </c>
      <c r="C159" s="4">
        <v>185</v>
      </c>
      <c r="D159" s="8">
        <v>10.91</v>
      </c>
      <c r="E159" s="4">
        <v>173</v>
      </c>
      <c r="F159" s="8">
        <v>18.27</v>
      </c>
      <c r="G159" s="4">
        <v>12</v>
      </c>
      <c r="H159" s="8">
        <v>1.64</v>
      </c>
      <c r="I159" s="4">
        <v>0</v>
      </c>
    </row>
    <row r="160" spans="1:9" x14ac:dyDescent="0.2">
      <c r="A160" s="2">
        <v>3</v>
      </c>
      <c r="B160" s="1" t="s">
        <v>113</v>
      </c>
      <c r="C160" s="4">
        <v>158</v>
      </c>
      <c r="D160" s="8">
        <v>9.32</v>
      </c>
      <c r="E160" s="4">
        <v>141</v>
      </c>
      <c r="F160" s="8">
        <v>14.89</v>
      </c>
      <c r="G160" s="4">
        <v>17</v>
      </c>
      <c r="H160" s="8">
        <v>2.33</v>
      </c>
      <c r="I160" s="4">
        <v>0</v>
      </c>
    </row>
    <row r="161" spans="1:9" x14ac:dyDescent="0.2">
      <c r="A161" s="2">
        <v>4</v>
      </c>
      <c r="B161" s="1" t="s">
        <v>105</v>
      </c>
      <c r="C161" s="4">
        <v>132</v>
      </c>
      <c r="D161" s="8">
        <v>7.79</v>
      </c>
      <c r="E161" s="4">
        <v>108</v>
      </c>
      <c r="F161" s="8">
        <v>11.4</v>
      </c>
      <c r="G161" s="4">
        <v>24</v>
      </c>
      <c r="H161" s="8">
        <v>3.28</v>
      </c>
      <c r="I161" s="4">
        <v>0</v>
      </c>
    </row>
    <row r="162" spans="1:9" x14ac:dyDescent="0.2">
      <c r="A162" s="2">
        <v>5</v>
      </c>
      <c r="B162" s="1" t="s">
        <v>107</v>
      </c>
      <c r="C162" s="4">
        <v>122</v>
      </c>
      <c r="D162" s="8">
        <v>7.2</v>
      </c>
      <c r="E162" s="4">
        <v>69</v>
      </c>
      <c r="F162" s="8">
        <v>7.29</v>
      </c>
      <c r="G162" s="4">
        <v>53</v>
      </c>
      <c r="H162" s="8">
        <v>7.25</v>
      </c>
      <c r="I162" s="4">
        <v>0</v>
      </c>
    </row>
    <row r="163" spans="1:9" x14ac:dyDescent="0.2">
      <c r="A163" s="2">
        <v>6</v>
      </c>
      <c r="B163" s="1" t="s">
        <v>98</v>
      </c>
      <c r="C163" s="4">
        <v>83</v>
      </c>
      <c r="D163" s="8">
        <v>4.9000000000000004</v>
      </c>
      <c r="E163" s="4">
        <v>16</v>
      </c>
      <c r="F163" s="8">
        <v>1.69</v>
      </c>
      <c r="G163" s="4">
        <v>67</v>
      </c>
      <c r="H163" s="8">
        <v>9.17</v>
      </c>
      <c r="I163" s="4">
        <v>0</v>
      </c>
    </row>
    <row r="164" spans="1:9" x14ac:dyDescent="0.2">
      <c r="A164" s="2">
        <v>7</v>
      </c>
      <c r="B164" s="1" t="s">
        <v>100</v>
      </c>
      <c r="C164" s="4">
        <v>73</v>
      </c>
      <c r="D164" s="8">
        <v>4.3099999999999996</v>
      </c>
      <c r="E164" s="4">
        <v>13</v>
      </c>
      <c r="F164" s="8">
        <v>1.37</v>
      </c>
      <c r="G164" s="4">
        <v>60</v>
      </c>
      <c r="H164" s="8">
        <v>8.2100000000000009</v>
      </c>
      <c r="I164" s="4">
        <v>0</v>
      </c>
    </row>
    <row r="165" spans="1:9" x14ac:dyDescent="0.2">
      <c r="A165" s="2">
        <v>8</v>
      </c>
      <c r="B165" s="1" t="s">
        <v>115</v>
      </c>
      <c r="C165" s="4">
        <v>65</v>
      </c>
      <c r="D165" s="8">
        <v>3.83</v>
      </c>
      <c r="E165" s="4">
        <v>51</v>
      </c>
      <c r="F165" s="8">
        <v>5.39</v>
      </c>
      <c r="G165" s="4">
        <v>14</v>
      </c>
      <c r="H165" s="8">
        <v>1.92</v>
      </c>
      <c r="I165" s="4">
        <v>0</v>
      </c>
    </row>
    <row r="166" spans="1:9" x14ac:dyDescent="0.2">
      <c r="A166" s="2">
        <v>9</v>
      </c>
      <c r="B166" s="1" t="s">
        <v>99</v>
      </c>
      <c r="C166" s="4">
        <v>64</v>
      </c>
      <c r="D166" s="8">
        <v>3.78</v>
      </c>
      <c r="E166" s="4">
        <v>16</v>
      </c>
      <c r="F166" s="8">
        <v>1.69</v>
      </c>
      <c r="G166" s="4">
        <v>48</v>
      </c>
      <c r="H166" s="8">
        <v>6.57</v>
      </c>
      <c r="I166" s="4">
        <v>0</v>
      </c>
    </row>
    <row r="167" spans="1:9" x14ac:dyDescent="0.2">
      <c r="A167" s="2">
        <v>10</v>
      </c>
      <c r="B167" s="1" t="s">
        <v>114</v>
      </c>
      <c r="C167" s="4">
        <v>59</v>
      </c>
      <c r="D167" s="8">
        <v>3.48</v>
      </c>
      <c r="E167" s="4">
        <v>50</v>
      </c>
      <c r="F167" s="8">
        <v>5.28</v>
      </c>
      <c r="G167" s="4">
        <v>9</v>
      </c>
      <c r="H167" s="8">
        <v>1.23</v>
      </c>
      <c r="I167" s="4">
        <v>0</v>
      </c>
    </row>
    <row r="168" spans="1:9" x14ac:dyDescent="0.2">
      <c r="A168" s="2">
        <v>11</v>
      </c>
      <c r="B168" s="1" t="s">
        <v>104</v>
      </c>
      <c r="C168" s="4">
        <v>54</v>
      </c>
      <c r="D168" s="8">
        <v>3.19</v>
      </c>
      <c r="E168" s="4">
        <v>24</v>
      </c>
      <c r="F168" s="8">
        <v>2.5299999999999998</v>
      </c>
      <c r="G168" s="4">
        <v>30</v>
      </c>
      <c r="H168" s="8">
        <v>4.0999999999999996</v>
      </c>
      <c r="I168" s="4">
        <v>0</v>
      </c>
    </row>
    <row r="169" spans="1:9" x14ac:dyDescent="0.2">
      <c r="A169" s="2">
        <v>12</v>
      </c>
      <c r="B169" s="1" t="s">
        <v>110</v>
      </c>
      <c r="C169" s="4">
        <v>47</v>
      </c>
      <c r="D169" s="8">
        <v>2.77</v>
      </c>
      <c r="E169" s="4">
        <v>21</v>
      </c>
      <c r="F169" s="8">
        <v>2.2200000000000002</v>
      </c>
      <c r="G169" s="4">
        <v>26</v>
      </c>
      <c r="H169" s="8">
        <v>3.56</v>
      </c>
      <c r="I169" s="4">
        <v>0</v>
      </c>
    </row>
    <row r="170" spans="1:9" x14ac:dyDescent="0.2">
      <c r="A170" s="2">
        <v>13</v>
      </c>
      <c r="B170" s="1" t="s">
        <v>106</v>
      </c>
      <c r="C170" s="4">
        <v>34</v>
      </c>
      <c r="D170" s="8">
        <v>2.0099999999999998</v>
      </c>
      <c r="E170" s="4">
        <v>18</v>
      </c>
      <c r="F170" s="8">
        <v>1.9</v>
      </c>
      <c r="G170" s="4">
        <v>16</v>
      </c>
      <c r="H170" s="8">
        <v>2.19</v>
      </c>
      <c r="I170" s="4">
        <v>0</v>
      </c>
    </row>
    <row r="171" spans="1:9" x14ac:dyDescent="0.2">
      <c r="A171" s="2">
        <v>13</v>
      </c>
      <c r="B171" s="1" t="s">
        <v>111</v>
      </c>
      <c r="C171" s="4">
        <v>34</v>
      </c>
      <c r="D171" s="8">
        <v>2.0099999999999998</v>
      </c>
      <c r="E171" s="4">
        <v>14</v>
      </c>
      <c r="F171" s="8">
        <v>1.48</v>
      </c>
      <c r="G171" s="4">
        <v>20</v>
      </c>
      <c r="H171" s="8">
        <v>2.74</v>
      </c>
      <c r="I171" s="4">
        <v>0</v>
      </c>
    </row>
    <row r="172" spans="1:9" x14ac:dyDescent="0.2">
      <c r="A172" s="2">
        <v>15</v>
      </c>
      <c r="B172" s="1" t="s">
        <v>116</v>
      </c>
      <c r="C172" s="4">
        <v>26</v>
      </c>
      <c r="D172" s="8">
        <v>1.53</v>
      </c>
      <c r="E172" s="4">
        <v>1</v>
      </c>
      <c r="F172" s="8">
        <v>0.11</v>
      </c>
      <c r="G172" s="4">
        <v>24</v>
      </c>
      <c r="H172" s="8">
        <v>3.28</v>
      </c>
      <c r="I172" s="4">
        <v>0</v>
      </c>
    </row>
    <row r="173" spans="1:9" x14ac:dyDescent="0.2">
      <c r="A173" s="2">
        <v>16</v>
      </c>
      <c r="B173" s="1" t="s">
        <v>117</v>
      </c>
      <c r="C173" s="4">
        <v>25</v>
      </c>
      <c r="D173" s="8">
        <v>1.47</v>
      </c>
      <c r="E173" s="4">
        <v>2</v>
      </c>
      <c r="F173" s="8">
        <v>0.21</v>
      </c>
      <c r="G173" s="4">
        <v>23</v>
      </c>
      <c r="H173" s="8">
        <v>3.15</v>
      </c>
      <c r="I173" s="4">
        <v>0</v>
      </c>
    </row>
    <row r="174" spans="1:9" x14ac:dyDescent="0.2">
      <c r="A174" s="2">
        <v>17</v>
      </c>
      <c r="B174" s="1" t="s">
        <v>108</v>
      </c>
      <c r="C174" s="4">
        <v>24</v>
      </c>
      <c r="D174" s="8">
        <v>1.42</v>
      </c>
      <c r="E174" s="4">
        <v>4</v>
      </c>
      <c r="F174" s="8">
        <v>0.42</v>
      </c>
      <c r="G174" s="4">
        <v>20</v>
      </c>
      <c r="H174" s="8">
        <v>2.74</v>
      </c>
      <c r="I174" s="4">
        <v>0</v>
      </c>
    </row>
    <row r="175" spans="1:9" x14ac:dyDescent="0.2">
      <c r="A175" s="2">
        <v>17</v>
      </c>
      <c r="B175" s="1" t="s">
        <v>118</v>
      </c>
      <c r="C175" s="4">
        <v>24</v>
      </c>
      <c r="D175" s="8">
        <v>1.42</v>
      </c>
      <c r="E175" s="4">
        <v>12</v>
      </c>
      <c r="F175" s="8">
        <v>1.27</v>
      </c>
      <c r="G175" s="4">
        <v>12</v>
      </c>
      <c r="H175" s="8">
        <v>1.64</v>
      </c>
      <c r="I175" s="4">
        <v>0</v>
      </c>
    </row>
    <row r="176" spans="1:9" x14ac:dyDescent="0.2">
      <c r="A176" s="2">
        <v>19</v>
      </c>
      <c r="B176" s="1" t="s">
        <v>101</v>
      </c>
      <c r="C176" s="4">
        <v>22</v>
      </c>
      <c r="D176" s="8">
        <v>1.3</v>
      </c>
      <c r="E176" s="4">
        <v>3</v>
      </c>
      <c r="F176" s="8">
        <v>0.32</v>
      </c>
      <c r="G176" s="4">
        <v>19</v>
      </c>
      <c r="H176" s="8">
        <v>2.6</v>
      </c>
      <c r="I176" s="4">
        <v>0</v>
      </c>
    </row>
    <row r="177" spans="1:9" x14ac:dyDescent="0.2">
      <c r="A177" s="2">
        <v>20</v>
      </c>
      <c r="B177" s="1" t="s">
        <v>121</v>
      </c>
      <c r="C177" s="4">
        <v>18</v>
      </c>
      <c r="D177" s="8">
        <v>1.06</v>
      </c>
      <c r="E177" s="4">
        <v>8</v>
      </c>
      <c r="F177" s="8">
        <v>0.84</v>
      </c>
      <c r="G177" s="4">
        <v>10</v>
      </c>
      <c r="H177" s="8">
        <v>1.37</v>
      </c>
      <c r="I177" s="4">
        <v>0</v>
      </c>
    </row>
    <row r="178" spans="1:9" x14ac:dyDescent="0.2">
      <c r="A178" s="1"/>
      <c r="C178" s="4"/>
      <c r="D178" s="8"/>
      <c r="E178" s="4"/>
      <c r="F178" s="8"/>
      <c r="G178" s="4"/>
      <c r="H178" s="8"/>
      <c r="I178" s="4"/>
    </row>
    <row r="179" spans="1:9" x14ac:dyDescent="0.2">
      <c r="A179" s="1" t="s">
        <v>8</v>
      </c>
      <c r="C179" s="4"/>
      <c r="D179" s="8"/>
      <c r="E179" s="4"/>
      <c r="F179" s="8"/>
      <c r="G179" s="4"/>
      <c r="H179" s="8"/>
      <c r="I179" s="4"/>
    </row>
    <row r="180" spans="1:9" x14ac:dyDescent="0.2">
      <c r="A180" s="2">
        <v>1</v>
      </c>
      <c r="B180" s="1" t="s">
        <v>112</v>
      </c>
      <c r="C180" s="4">
        <v>633</v>
      </c>
      <c r="D180" s="8">
        <v>11.77</v>
      </c>
      <c r="E180" s="4">
        <v>560</v>
      </c>
      <c r="F180" s="8">
        <v>20.25</v>
      </c>
      <c r="G180" s="4">
        <v>73</v>
      </c>
      <c r="H180" s="8">
        <v>2.85</v>
      </c>
      <c r="I180" s="4">
        <v>0</v>
      </c>
    </row>
    <row r="181" spans="1:9" x14ac:dyDescent="0.2">
      <c r="A181" s="2">
        <v>2</v>
      </c>
      <c r="B181" s="1" t="s">
        <v>113</v>
      </c>
      <c r="C181" s="4">
        <v>623</v>
      </c>
      <c r="D181" s="8">
        <v>11.59</v>
      </c>
      <c r="E181" s="4">
        <v>534</v>
      </c>
      <c r="F181" s="8">
        <v>19.309999999999999</v>
      </c>
      <c r="G181" s="4">
        <v>88</v>
      </c>
      <c r="H181" s="8">
        <v>3.43</v>
      </c>
      <c r="I181" s="4">
        <v>1</v>
      </c>
    </row>
    <row r="182" spans="1:9" x14ac:dyDescent="0.2">
      <c r="A182" s="2">
        <v>3</v>
      </c>
      <c r="B182" s="1" t="s">
        <v>109</v>
      </c>
      <c r="C182" s="4">
        <v>425</v>
      </c>
      <c r="D182" s="8">
        <v>7.9</v>
      </c>
      <c r="E182" s="4">
        <v>162</v>
      </c>
      <c r="F182" s="8">
        <v>5.86</v>
      </c>
      <c r="G182" s="4">
        <v>263</v>
      </c>
      <c r="H182" s="8">
        <v>10.26</v>
      </c>
      <c r="I182" s="4">
        <v>0</v>
      </c>
    </row>
    <row r="183" spans="1:9" x14ac:dyDescent="0.2">
      <c r="A183" s="2">
        <v>4</v>
      </c>
      <c r="B183" s="1" t="s">
        <v>98</v>
      </c>
      <c r="C183" s="4">
        <v>373</v>
      </c>
      <c r="D183" s="8">
        <v>6.94</v>
      </c>
      <c r="E183" s="4">
        <v>73</v>
      </c>
      <c r="F183" s="8">
        <v>2.64</v>
      </c>
      <c r="G183" s="4">
        <v>300</v>
      </c>
      <c r="H183" s="8">
        <v>11.71</v>
      </c>
      <c r="I183" s="4">
        <v>0</v>
      </c>
    </row>
    <row r="184" spans="1:9" x14ac:dyDescent="0.2">
      <c r="A184" s="2">
        <v>5</v>
      </c>
      <c r="B184" s="1" t="s">
        <v>107</v>
      </c>
      <c r="C184" s="4">
        <v>349</v>
      </c>
      <c r="D184" s="8">
        <v>6.49</v>
      </c>
      <c r="E184" s="4">
        <v>175</v>
      </c>
      <c r="F184" s="8">
        <v>6.33</v>
      </c>
      <c r="G184" s="4">
        <v>174</v>
      </c>
      <c r="H184" s="8">
        <v>6.79</v>
      </c>
      <c r="I184" s="4">
        <v>0</v>
      </c>
    </row>
    <row r="185" spans="1:9" x14ac:dyDescent="0.2">
      <c r="A185" s="2">
        <v>6</v>
      </c>
      <c r="B185" s="1" t="s">
        <v>105</v>
      </c>
      <c r="C185" s="4">
        <v>249</v>
      </c>
      <c r="D185" s="8">
        <v>4.63</v>
      </c>
      <c r="E185" s="4">
        <v>201</v>
      </c>
      <c r="F185" s="8">
        <v>7.27</v>
      </c>
      <c r="G185" s="4">
        <v>48</v>
      </c>
      <c r="H185" s="8">
        <v>1.87</v>
      </c>
      <c r="I185" s="4">
        <v>0</v>
      </c>
    </row>
    <row r="186" spans="1:9" x14ac:dyDescent="0.2">
      <c r="A186" s="2">
        <v>7</v>
      </c>
      <c r="B186" s="1" t="s">
        <v>99</v>
      </c>
      <c r="C186" s="4">
        <v>241</v>
      </c>
      <c r="D186" s="8">
        <v>4.4800000000000004</v>
      </c>
      <c r="E186" s="4">
        <v>76</v>
      </c>
      <c r="F186" s="8">
        <v>2.75</v>
      </c>
      <c r="G186" s="4">
        <v>165</v>
      </c>
      <c r="H186" s="8">
        <v>6.44</v>
      </c>
      <c r="I186" s="4">
        <v>0</v>
      </c>
    </row>
    <row r="187" spans="1:9" x14ac:dyDescent="0.2">
      <c r="A187" s="2">
        <v>8</v>
      </c>
      <c r="B187" s="1" t="s">
        <v>100</v>
      </c>
      <c r="C187" s="4">
        <v>239</v>
      </c>
      <c r="D187" s="8">
        <v>4.4400000000000004</v>
      </c>
      <c r="E187" s="4">
        <v>29</v>
      </c>
      <c r="F187" s="8">
        <v>1.05</v>
      </c>
      <c r="G187" s="4">
        <v>210</v>
      </c>
      <c r="H187" s="8">
        <v>8.19</v>
      </c>
      <c r="I187" s="4">
        <v>0</v>
      </c>
    </row>
    <row r="188" spans="1:9" x14ac:dyDescent="0.2">
      <c r="A188" s="2">
        <v>9</v>
      </c>
      <c r="B188" s="1" t="s">
        <v>115</v>
      </c>
      <c r="C188" s="4">
        <v>215</v>
      </c>
      <c r="D188" s="8">
        <v>4</v>
      </c>
      <c r="E188" s="4">
        <v>180</v>
      </c>
      <c r="F188" s="8">
        <v>6.51</v>
      </c>
      <c r="G188" s="4">
        <v>35</v>
      </c>
      <c r="H188" s="8">
        <v>1.37</v>
      </c>
      <c r="I188" s="4">
        <v>0</v>
      </c>
    </row>
    <row r="189" spans="1:9" x14ac:dyDescent="0.2">
      <c r="A189" s="2">
        <v>10</v>
      </c>
      <c r="B189" s="1" t="s">
        <v>106</v>
      </c>
      <c r="C189" s="4">
        <v>166</v>
      </c>
      <c r="D189" s="8">
        <v>3.09</v>
      </c>
      <c r="E189" s="4">
        <v>109</v>
      </c>
      <c r="F189" s="8">
        <v>3.94</v>
      </c>
      <c r="G189" s="4">
        <v>57</v>
      </c>
      <c r="H189" s="8">
        <v>2.2200000000000002</v>
      </c>
      <c r="I189" s="4">
        <v>0</v>
      </c>
    </row>
    <row r="190" spans="1:9" x14ac:dyDescent="0.2">
      <c r="A190" s="2">
        <v>11</v>
      </c>
      <c r="B190" s="1" t="s">
        <v>110</v>
      </c>
      <c r="C190" s="4">
        <v>160</v>
      </c>
      <c r="D190" s="8">
        <v>2.98</v>
      </c>
      <c r="E190" s="4">
        <v>93</v>
      </c>
      <c r="F190" s="8">
        <v>3.36</v>
      </c>
      <c r="G190" s="4">
        <v>67</v>
      </c>
      <c r="H190" s="8">
        <v>2.61</v>
      </c>
      <c r="I190" s="4">
        <v>0</v>
      </c>
    </row>
    <row r="191" spans="1:9" x14ac:dyDescent="0.2">
      <c r="A191" s="2">
        <v>12</v>
      </c>
      <c r="B191" s="1" t="s">
        <v>114</v>
      </c>
      <c r="C191" s="4">
        <v>153</v>
      </c>
      <c r="D191" s="8">
        <v>2.85</v>
      </c>
      <c r="E191" s="4">
        <v>111</v>
      </c>
      <c r="F191" s="8">
        <v>4.01</v>
      </c>
      <c r="G191" s="4">
        <v>38</v>
      </c>
      <c r="H191" s="8">
        <v>1.48</v>
      </c>
      <c r="I191" s="4">
        <v>2</v>
      </c>
    </row>
    <row r="192" spans="1:9" x14ac:dyDescent="0.2">
      <c r="A192" s="2">
        <v>13</v>
      </c>
      <c r="B192" s="1" t="s">
        <v>111</v>
      </c>
      <c r="C192" s="4">
        <v>118</v>
      </c>
      <c r="D192" s="8">
        <v>2.19</v>
      </c>
      <c r="E192" s="4">
        <v>51</v>
      </c>
      <c r="F192" s="8">
        <v>1.84</v>
      </c>
      <c r="G192" s="4">
        <v>66</v>
      </c>
      <c r="H192" s="8">
        <v>2.58</v>
      </c>
      <c r="I192" s="4">
        <v>0</v>
      </c>
    </row>
    <row r="193" spans="1:9" x14ac:dyDescent="0.2">
      <c r="A193" s="2">
        <v>14</v>
      </c>
      <c r="B193" s="1" t="s">
        <v>104</v>
      </c>
      <c r="C193" s="4">
        <v>111</v>
      </c>
      <c r="D193" s="8">
        <v>2.06</v>
      </c>
      <c r="E193" s="4">
        <v>60</v>
      </c>
      <c r="F193" s="8">
        <v>2.17</v>
      </c>
      <c r="G193" s="4">
        <v>51</v>
      </c>
      <c r="H193" s="8">
        <v>1.99</v>
      </c>
      <c r="I193" s="4">
        <v>0</v>
      </c>
    </row>
    <row r="194" spans="1:9" x14ac:dyDescent="0.2">
      <c r="A194" s="2">
        <v>15</v>
      </c>
      <c r="B194" s="1" t="s">
        <v>116</v>
      </c>
      <c r="C194" s="4">
        <v>97</v>
      </c>
      <c r="D194" s="8">
        <v>1.8</v>
      </c>
      <c r="E194" s="4">
        <v>0</v>
      </c>
      <c r="F194" s="8">
        <v>0</v>
      </c>
      <c r="G194" s="4">
        <v>94</v>
      </c>
      <c r="H194" s="8">
        <v>3.67</v>
      </c>
      <c r="I194" s="4">
        <v>0</v>
      </c>
    </row>
    <row r="195" spans="1:9" x14ac:dyDescent="0.2">
      <c r="A195" s="2">
        <v>16</v>
      </c>
      <c r="B195" s="1" t="s">
        <v>108</v>
      </c>
      <c r="C195" s="4">
        <v>94</v>
      </c>
      <c r="D195" s="8">
        <v>1.75</v>
      </c>
      <c r="E195" s="4">
        <v>19</v>
      </c>
      <c r="F195" s="8">
        <v>0.69</v>
      </c>
      <c r="G195" s="4">
        <v>75</v>
      </c>
      <c r="H195" s="8">
        <v>2.93</v>
      </c>
      <c r="I195" s="4">
        <v>0</v>
      </c>
    </row>
    <row r="196" spans="1:9" x14ac:dyDescent="0.2">
      <c r="A196" s="2">
        <v>17</v>
      </c>
      <c r="B196" s="1" t="s">
        <v>118</v>
      </c>
      <c r="C196" s="4">
        <v>79</v>
      </c>
      <c r="D196" s="8">
        <v>1.47</v>
      </c>
      <c r="E196" s="4">
        <v>33</v>
      </c>
      <c r="F196" s="8">
        <v>1.19</v>
      </c>
      <c r="G196" s="4">
        <v>46</v>
      </c>
      <c r="H196" s="8">
        <v>1.79</v>
      </c>
      <c r="I196" s="4">
        <v>0</v>
      </c>
    </row>
    <row r="197" spans="1:9" x14ac:dyDescent="0.2">
      <c r="A197" s="2">
        <v>18</v>
      </c>
      <c r="B197" s="1" t="s">
        <v>123</v>
      </c>
      <c r="C197" s="4">
        <v>78</v>
      </c>
      <c r="D197" s="8">
        <v>1.45</v>
      </c>
      <c r="E197" s="4">
        <v>52</v>
      </c>
      <c r="F197" s="8">
        <v>1.88</v>
      </c>
      <c r="G197" s="4">
        <v>25</v>
      </c>
      <c r="H197" s="8">
        <v>0.98</v>
      </c>
      <c r="I197" s="4">
        <v>1</v>
      </c>
    </row>
    <row r="198" spans="1:9" x14ac:dyDescent="0.2">
      <c r="A198" s="2">
        <v>19</v>
      </c>
      <c r="B198" s="1" t="s">
        <v>101</v>
      </c>
      <c r="C198" s="4">
        <v>77</v>
      </c>
      <c r="D198" s="8">
        <v>1.43</v>
      </c>
      <c r="E198" s="4">
        <v>6</v>
      </c>
      <c r="F198" s="8">
        <v>0.22</v>
      </c>
      <c r="G198" s="4">
        <v>71</v>
      </c>
      <c r="H198" s="8">
        <v>2.77</v>
      </c>
      <c r="I198" s="4">
        <v>0</v>
      </c>
    </row>
    <row r="199" spans="1:9" x14ac:dyDescent="0.2">
      <c r="A199" s="2">
        <v>20</v>
      </c>
      <c r="B199" s="1" t="s">
        <v>103</v>
      </c>
      <c r="C199" s="4">
        <v>69</v>
      </c>
      <c r="D199" s="8">
        <v>1.28</v>
      </c>
      <c r="E199" s="4">
        <v>17</v>
      </c>
      <c r="F199" s="8">
        <v>0.61</v>
      </c>
      <c r="G199" s="4">
        <v>52</v>
      </c>
      <c r="H199" s="8">
        <v>2.0299999999999998</v>
      </c>
      <c r="I199" s="4">
        <v>0</v>
      </c>
    </row>
    <row r="200" spans="1:9" x14ac:dyDescent="0.2">
      <c r="A200" s="1"/>
      <c r="C200" s="4"/>
      <c r="D200" s="8"/>
      <c r="E200" s="4"/>
      <c r="F200" s="8"/>
      <c r="G200" s="4"/>
      <c r="H200" s="8"/>
      <c r="I200" s="4"/>
    </row>
    <row r="201" spans="1:9" x14ac:dyDescent="0.2">
      <c r="A201" s="1" t="s">
        <v>9</v>
      </c>
      <c r="C201" s="4"/>
      <c r="D201" s="8"/>
      <c r="E201" s="4"/>
      <c r="F201" s="8"/>
      <c r="G201" s="4"/>
      <c r="H201" s="8"/>
      <c r="I201" s="4"/>
    </row>
    <row r="202" spans="1:9" x14ac:dyDescent="0.2">
      <c r="A202" s="2">
        <v>1</v>
      </c>
      <c r="B202" s="1" t="s">
        <v>112</v>
      </c>
      <c r="C202" s="4">
        <v>4833</v>
      </c>
      <c r="D202" s="8">
        <v>12.32</v>
      </c>
      <c r="E202" s="4">
        <v>3969</v>
      </c>
      <c r="F202" s="8">
        <v>26.66</v>
      </c>
      <c r="G202" s="4">
        <v>864</v>
      </c>
      <c r="H202" s="8">
        <v>3.59</v>
      </c>
      <c r="I202" s="4">
        <v>0</v>
      </c>
    </row>
    <row r="203" spans="1:9" x14ac:dyDescent="0.2">
      <c r="A203" s="2">
        <v>2</v>
      </c>
      <c r="B203" s="1" t="s">
        <v>109</v>
      </c>
      <c r="C203" s="4">
        <v>3400</v>
      </c>
      <c r="D203" s="8">
        <v>8.67</v>
      </c>
      <c r="E203" s="4">
        <v>708</v>
      </c>
      <c r="F203" s="8">
        <v>4.76</v>
      </c>
      <c r="G203" s="4">
        <v>2682</v>
      </c>
      <c r="H203" s="8">
        <v>11.16</v>
      </c>
      <c r="I203" s="4">
        <v>6</v>
      </c>
    </row>
    <row r="204" spans="1:9" x14ac:dyDescent="0.2">
      <c r="A204" s="2">
        <v>3</v>
      </c>
      <c r="B204" s="1" t="s">
        <v>113</v>
      </c>
      <c r="C204" s="4">
        <v>3320</v>
      </c>
      <c r="D204" s="8">
        <v>8.4600000000000009</v>
      </c>
      <c r="E204" s="4">
        <v>2468</v>
      </c>
      <c r="F204" s="8">
        <v>16.579999999999998</v>
      </c>
      <c r="G204" s="4">
        <v>852</v>
      </c>
      <c r="H204" s="8">
        <v>3.54</v>
      </c>
      <c r="I204" s="4">
        <v>0</v>
      </c>
    </row>
    <row r="205" spans="1:9" x14ac:dyDescent="0.2">
      <c r="A205" s="2">
        <v>4</v>
      </c>
      <c r="B205" s="1" t="s">
        <v>110</v>
      </c>
      <c r="C205" s="4">
        <v>2189</v>
      </c>
      <c r="D205" s="8">
        <v>5.58</v>
      </c>
      <c r="E205" s="4">
        <v>1115</v>
      </c>
      <c r="F205" s="8">
        <v>7.49</v>
      </c>
      <c r="G205" s="4">
        <v>1071</v>
      </c>
      <c r="H205" s="8">
        <v>4.46</v>
      </c>
      <c r="I205" s="4">
        <v>3</v>
      </c>
    </row>
    <row r="206" spans="1:9" x14ac:dyDescent="0.2">
      <c r="A206" s="2">
        <v>5</v>
      </c>
      <c r="B206" s="1" t="s">
        <v>107</v>
      </c>
      <c r="C206" s="4">
        <v>1999</v>
      </c>
      <c r="D206" s="8">
        <v>5.09</v>
      </c>
      <c r="E206" s="4">
        <v>806</v>
      </c>
      <c r="F206" s="8">
        <v>5.41</v>
      </c>
      <c r="G206" s="4">
        <v>1193</v>
      </c>
      <c r="H206" s="8">
        <v>4.96</v>
      </c>
      <c r="I206" s="4">
        <v>0</v>
      </c>
    </row>
    <row r="207" spans="1:9" x14ac:dyDescent="0.2">
      <c r="A207" s="2">
        <v>6</v>
      </c>
      <c r="B207" s="1" t="s">
        <v>98</v>
      </c>
      <c r="C207" s="4">
        <v>1581</v>
      </c>
      <c r="D207" s="8">
        <v>4.03</v>
      </c>
      <c r="E207" s="4">
        <v>152</v>
      </c>
      <c r="F207" s="8">
        <v>1.02</v>
      </c>
      <c r="G207" s="4">
        <v>1429</v>
      </c>
      <c r="H207" s="8">
        <v>5.94</v>
      </c>
      <c r="I207" s="4">
        <v>0</v>
      </c>
    </row>
    <row r="208" spans="1:9" x14ac:dyDescent="0.2">
      <c r="A208" s="2">
        <v>7</v>
      </c>
      <c r="B208" s="1" t="s">
        <v>105</v>
      </c>
      <c r="C208" s="4">
        <v>1395</v>
      </c>
      <c r="D208" s="8">
        <v>3.56</v>
      </c>
      <c r="E208" s="4">
        <v>861</v>
      </c>
      <c r="F208" s="8">
        <v>5.78</v>
      </c>
      <c r="G208" s="4">
        <v>533</v>
      </c>
      <c r="H208" s="8">
        <v>2.2200000000000002</v>
      </c>
      <c r="I208" s="4">
        <v>1</v>
      </c>
    </row>
    <row r="209" spans="1:9" x14ac:dyDescent="0.2">
      <c r="A209" s="2">
        <v>8</v>
      </c>
      <c r="B209" s="1" t="s">
        <v>114</v>
      </c>
      <c r="C209" s="4">
        <v>1365</v>
      </c>
      <c r="D209" s="8">
        <v>3.48</v>
      </c>
      <c r="E209" s="4">
        <v>716</v>
      </c>
      <c r="F209" s="8">
        <v>4.8099999999999996</v>
      </c>
      <c r="G209" s="4">
        <v>492</v>
      </c>
      <c r="H209" s="8">
        <v>2.0499999999999998</v>
      </c>
      <c r="I209" s="4">
        <v>4</v>
      </c>
    </row>
    <row r="210" spans="1:9" x14ac:dyDescent="0.2">
      <c r="A210" s="2">
        <v>9</v>
      </c>
      <c r="B210" s="1" t="s">
        <v>115</v>
      </c>
      <c r="C210" s="4">
        <v>1350</v>
      </c>
      <c r="D210" s="8">
        <v>3.44</v>
      </c>
      <c r="E210" s="4">
        <v>1119</v>
      </c>
      <c r="F210" s="8">
        <v>7.52</v>
      </c>
      <c r="G210" s="4">
        <v>231</v>
      </c>
      <c r="H210" s="8">
        <v>0.96</v>
      </c>
      <c r="I210" s="4">
        <v>0</v>
      </c>
    </row>
    <row r="211" spans="1:9" x14ac:dyDescent="0.2">
      <c r="A211" s="2">
        <v>10</v>
      </c>
      <c r="B211" s="1" t="s">
        <v>99</v>
      </c>
      <c r="C211" s="4">
        <v>1260</v>
      </c>
      <c r="D211" s="8">
        <v>3.21</v>
      </c>
      <c r="E211" s="4">
        <v>216</v>
      </c>
      <c r="F211" s="8">
        <v>1.45</v>
      </c>
      <c r="G211" s="4">
        <v>1044</v>
      </c>
      <c r="H211" s="8">
        <v>4.34</v>
      </c>
      <c r="I211" s="4">
        <v>0</v>
      </c>
    </row>
    <row r="212" spans="1:9" x14ac:dyDescent="0.2">
      <c r="A212" s="2">
        <v>11</v>
      </c>
      <c r="B212" s="1" t="s">
        <v>102</v>
      </c>
      <c r="C212" s="4">
        <v>1224</v>
      </c>
      <c r="D212" s="8">
        <v>3.12</v>
      </c>
      <c r="E212" s="4">
        <v>42</v>
      </c>
      <c r="F212" s="8">
        <v>0.28000000000000003</v>
      </c>
      <c r="G212" s="4">
        <v>1182</v>
      </c>
      <c r="H212" s="8">
        <v>4.92</v>
      </c>
      <c r="I212" s="4">
        <v>0</v>
      </c>
    </row>
    <row r="213" spans="1:9" x14ac:dyDescent="0.2">
      <c r="A213" s="2">
        <v>12</v>
      </c>
      <c r="B213" s="1" t="s">
        <v>104</v>
      </c>
      <c r="C213" s="4">
        <v>1184</v>
      </c>
      <c r="D213" s="8">
        <v>3.02</v>
      </c>
      <c r="E213" s="4">
        <v>361</v>
      </c>
      <c r="F213" s="8">
        <v>2.4300000000000002</v>
      </c>
      <c r="G213" s="4">
        <v>823</v>
      </c>
      <c r="H213" s="8">
        <v>3.42</v>
      </c>
      <c r="I213" s="4">
        <v>0</v>
      </c>
    </row>
    <row r="214" spans="1:9" x14ac:dyDescent="0.2">
      <c r="A214" s="2">
        <v>13</v>
      </c>
      <c r="B214" s="1" t="s">
        <v>100</v>
      </c>
      <c r="C214" s="4">
        <v>1145</v>
      </c>
      <c r="D214" s="8">
        <v>2.92</v>
      </c>
      <c r="E214" s="4">
        <v>157</v>
      </c>
      <c r="F214" s="8">
        <v>1.05</v>
      </c>
      <c r="G214" s="4">
        <v>987</v>
      </c>
      <c r="H214" s="8">
        <v>4.1100000000000003</v>
      </c>
      <c r="I214" s="4">
        <v>1</v>
      </c>
    </row>
    <row r="215" spans="1:9" x14ac:dyDescent="0.2">
      <c r="A215" s="2">
        <v>14</v>
      </c>
      <c r="B215" s="1" t="s">
        <v>111</v>
      </c>
      <c r="C215" s="4">
        <v>1056</v>
      </c>
      <c r="D215" s="8">
        <v>2.69</v>
      </c>
      <c r="E215" s="4">
        <v>260</v>
      </c>
      <c r="F215" s="8">
        <v>1.75</v>
      </c>
      <c r="G215" s="4">
        <v>795</v>
      </c>
      <c r="H215" s="8">
        <v>3.31</v>
      </c>
      <c r="I215" s="4">
        <v>1</v>
      </c>
    </row>
    <row r="216" spans="1:9" x14ac:dyDescent="0.2">
      <c r="A216" s="2">
        <v>15</v>
      </c>
      <c r="B216" s="1" t="s">
        <v>108</v>
      </c>
      <c r="C216" s="4">
        <v>1039</v>
      </c>
      <c r="D216" s="8">
        <v>2.65</v>
      </c>
      <c r="E216" s="4">
        <v>133</v>
      </c>
      <c r="F216" s="8">
        <v>0.89</v>
      </c>
      <c r="G216" s="4">
        <v>906</v>
      </c>
      <c r="H216" s="8">
        <v>3.77</v>
      </c>
      <c r="I216" s="4">
        <v>0</v>
      </c>
    </row>
    <row r="217" spans="1:9" x14ac:dyDescent="0.2">
      <c r="A217" s="2">
        <v>16</v>
      </c>
      <c r="B217" s="1" t="s">
        <v>103</v>
      </c>
      <c r="C217" s="4">
        <v>958</v>
      </c>
      <c r="D217" s="8">
        <v>2.44</v>
      </c>
      <c r="E217" s="4">
        <v>61</v>
      </c>
      <c r="F217" s="8">
        <v>0.41</v>
      </c>
      <c r="G217" s="4">
        <v>896</v>
      </c>
      <c r="H217" s="8">
        <v>3.73</v>
      </c>
      <c r="I217" s="4">
        <v>1</v>
      </c>
    </row>
    <row r="218" spans="1:9" x14ac:dyDescent="0.2">
      <c r="A218" s="2">
        <v>17</v>
      </c>
      <c r="B218" s="1" t="s">
        <v>117</v>
      </c>
      <c r="C218" s="4">
        <v>863</v>
      </c>
      <c r="D218" s="8">
        <v>2.2000000000000002</v>
      </c>
      <c r="E218" s="4">
        <v>51</v>
      </c>
      <c r="F218" s="8">
        <v>0.34</v>
      </c>
      <c r="G218" s="4">
        <v>797</v>
      </c>
      <c r="H218" s="8">
        <v>3.32</v>
      </c>
      <c r="I218" s="4">
        <v>13</v>
      </c>
    </row>
    <row r="219" spans="1:9" x14ac:dyDescent="0.2">
      <c r="A219" s="2">
        <v>18</v>
      </c>
      <c r="B219" s="1" t="s">
        <v>101</v>
      </c>
      <c r="C219" s="4">
        <v>759</v>
      </c>
      <c r="D219" s="8">
        <v>1.93</v>
      </c>
      <c r="E219" s="4">
        <v>34</v>
      </c>
      <c r="F219" s="8">
        <v>0.23</v>
      </c>
      <c r="G219" s="4">
        <v>724</v>
      </c>
      <c r="H219" s="8">
        <v>3.01</v>
      </c>
      <c r="I219" s="4">
        <v>1</v>
      </c>
    </row>
    <row r="220" spans="1:9" x14ac:dyDescent="0.2">
      <c r="A220" s="2">
        <v>19</v>
      </c>
      <c r="B220" s="1" t="s">
        <v>106</v>
      </c>
      <c r="C220" s="4">
        <v>690</v>
      </c>
      <c r="D220" s="8">
        <v>1.76</v>
      </c>
      <c r="E220" s="4">
        <v>381</v>
      </c>
      <c r="F220" s="8">
        <v>2.56</v>
      </c>
      <c r="G220" s="4">
        <v>309</v>
      </c>
      <c r="H220" s="8">
        <v>1.29</v>
      </c>
      <c r="I220" s="4">
        <v>0</v>
      </c>
    </row>
    <row r="221" spans="1:9" x14ac:dyDescent="0.2">
      <c r="A221" s="2">
        <v>20</v>
      </c>
      <c r="B221" s="1" t="s">
        <v>124</v>
      </c>
      <c r="C221" s="4">
        <v>646</v>
      </c>
      <c r="D221" s="8">
        <v>1.65</v>
      </c>
      <c r="E221" s="4">
        <v>60</v>
      </c>
      <c r="F221" s="8">
        <v>0.4</v>
      </c>
      <c r="G221" s="4">
        <v>586</v>
      </c>
      <c r="H221" s="8">
        <v>2.44</v>
      </c>
      <c r="I221" s="4">
        <v>0</v>
      </c>
    </row>
    <row r="222" spans="1:9" x14ac:dyDescent="0.2">
      <c r="A222" s="1"/>
      <c r="C222" s="4"/>
      <c r="D222" s="8"/>
      <c r="E222" s="4"/>
      <c r="F222" s="8"/>
      <c r="G222" s="4"/>
      <c r="H222" s="8"/>
      <c r="I222" s="4"/>
    </row>
    <row r="223" spans="1:9" x14ac:dyDescent="0.2">
      <c r="A223" s="1" t="s">
        <v>10</v>
      </c>
      <c r="C223" s="4"/>
      <c r="D223" s="8"/>
      <c r="E223" s="4"/>
      <c r="F223" s="8"/>
      <c r="G223" s="4"/>
      <c r="H223" s="8"/>
      <c r="I223" s="4"/>
    </row>
    <row r="224" spans="1:9" x14ac:dyDescent="0.2">
      <c r="A224" s="2">
        <v>1</v>
      </c>
      <c r="B224" s="1" t="s">
        <v>109</v>
      </c>
      <c r="C224" s="4">
        <v>446</v>
      </c>
      <c r="D224" s="8">
        <v>9.5299999999999994</v>
      </c>
      <c r="E224" s="4">
        <v>92</v>
      </c>
      <c r="F224" s="8">
        <v>5.41</v>
      </c>
      <c r="G224" s="4">
        <v>353</v>
      </c>
      <c r="H224" s="8">
        <v>12.06</v>
      </c>
      <c r="I224" s="4">
        <v>0</v>
      </c>
    </row>
    <row r="225" spans="1:9" x14ac:dyDescent="0.2">
      <c r="A225" s="2">
        <v>2</v>
      </c>
      <c r="B225" s="1" t="s">
        <v>113</v>
      </c>
      <c r="C225" s="4">
        <v>438</v>
      </c>
      <c r="D225" s="8">
        <v>9.36</v>
      </c>
      <c r="E225" s="4">
        <v>320</v>
      </c>
      <c r="F225" s="8">
        <v>18.82</v>
      </c>
      <c r="G225" s="4">
        <v>118</v>
      </c>
      <c r="H225" s="8">
        <v>4.03</v>
      </c>
      <c r="I225" s="4">
        <v>0</v>
      </c>
    </row>
    <row r="226" spans="1:9" x14ac:dyDescent="0.2">
      <c r="A226" s="2">
        <v>3</v>
      </c>
      <c r="B226" s="1" t="s">
        <v>112</v>
      </c>
      <c r="C226" s="4">
        <v>423</v>
      </c>
      <c r="D226" s="8">
        <v>9.0399999999999991</v>
      </c>
      <c r="E226" s="4">
        <v>363</v>
      </c>
      <c r="F226" s="8">
        <v>21.35</v>
      </c>
      <c r="G226" s="4">
        <v>60</v>
      </c>
      <c r="H226" s="8">
        <v>2.0499999999999998</v>
      </c>
      <c r="I226" s="4">
        <v>0</v>
      </c>
    </row>
    <row r="227" spans="1:9" x14ac:dyDescent="0.2">
      <c r="A227" s="2">
        <v>4</v>
      </c>
      <c r="B227" s="1" t="s">
        <v>107</v>
      </c>
      <c r="C227" s="4">
        <v>247</v>
      </c>
      <c r="D227" s="8">
        <v>5.28</v>
      </c>
      <c r="E227" s="4">
        <v>117</v>
      </c>
      <c r="F227" s="8">
        <v>6.88</v>
      </c>
      <c r="G227" s="4">
        <v>130</v>
      </c>
      <c r="H227" s="8">
        <v>4.4400000000000004</v>
      </c>
      <c r="I227" s="4">
        <v>0</v>
      </c>
    </row>
    <row r="228" spans="1:9" x14ac:dyDescent="0.2">
      <c r="A228" s="2">
        <v>5</v>
      </c>
      <c r="B228" s="1" t="s">
        <v>98</v>
      </c>
      <c r="C228" s="4">
        <v>235</v>
      </c>
      <c r="D228" s="8">
        <v>5.0199999999999996</v>
      </c>
      <c r="E228" s="4">
        <v>26</v>
      </c>
      <c r="F228" s="8">
        <v>1.53</v>
      </c>
      <c r="G228" s="4">
        <v>209</v>
      </c>
      <c r="H228" s="8">
        <v>7.14</v>
      </c>
      <c r="I228" s="4">
        <v>0</v>
      </c>
    </row>
    <row r="229" spans="1:9" x14ac:dyDescent="0.2">
      <c r="A229" s="2">
        <v>6</v>
      </c>
      <c r="B229" s="1" t="s">
        <v>105</v>
      </c>
      <c r="C229" s="4">
        <v>201</v>
      </c>
      <c r="D229" s="8">
        <v>4.3</v>
      </c>
      <c r="E229" s="4">
        <v>130</v>
      </c>
      <c r="F229" s="8">
        <v>7.65</v>
      </c>
      <c r="G229" s="4">
        <v>71</v>
      </c>
      <c r="H229" s="8">
        <v>2.4300000000000002</v>
      </c>
      <c r="I229" s="4">
        <v>0</v>
      </c>
    </row>
    <row r="230" spans="1:9" x14ac:dyDescent="0.2">
      <c r="A230" s="2">
        <v>7</v>
      </c>
      <c r="B230" s="1" t="s">
        <v>115</v>
      </c>
      <c r="C230" s="4">
        <v>183</v>
      </c>
      <c r="D230" s="8">
        <v>3.91</v>
      </c>
      <c r="E230" s="4">
        <v>147</v>
      </c>
      <c r="F230" s="8">
        <v>8.65</v>
      </c>
      <c r="G230" s="4">
        <v>36</v>
      </c>
      <c r="H230" s="8">
        <v>1.23</v>
      </c>
      <c r="I230" s="4">
        <v>0</v>
      </c>
    </row>
    <row r="231" spans="1:9" x14ac:dyDescent="0.2">
      <c r="A231" s="2">
        <v>8</v>
      </c>
      <c r="B231" s="1" t="s">
        <v>114</v>
      </c>
      <c r="C231" s="4">
        <v>177</v>
      </c>
      <c r="D231" s="8">
        <v>3.78</v>
      </c>
      <c r="E231" s="4">
        <v>89</v>
      </c>
      <c r="F231" s="8">
        <v>5.24</v>
      </c>
      <c r="G231" s="4">
        <v>58</v>
      </c>
      <c r="H231" s="8">
        <v>1.98</v>
      </c>
      <c r="I231" s="4">
        <v>0</v>
      </c>
    </row>
    <row r="232" spans="1:9" x14ac:dyDescent="0.2">
      <c r="A232" s="2">
        <v>9</v>
      </c>
      <c r="B232" s="1" t="s">
        <v>99</v>
      </c>
      <c r="C232" s="4">
        <v>153</v>
      </c>
      <c r="D232" s="8">
        <v>3.27</v>
      </c>
      <c r="E232" s="4">
        <v>28</v>
      </c>
      <c r="F232" s="8">
        <v>1.65</v>
      </c>
      <c r="G232" s="4">
        <v>125</v>
      </c>
      <c r="H232" s="8">
        <v>4.2699999999999996</v>
      </c>
      <c r="I232" s="4">
        <v>0</v>
      </c>
    </row>
    <row r="233" spans="1:9" x14ac:dyDescent="0.2">
      <c r="A233" s="2">
        <v>10</v>
      </c>
      <c r="B233" s="1" t="s">
        <v>100</v>
      </c>
      <c r="C233" s="4">
        <v>142</v>
      </c>
      <c r="D233" s="8">
        <v>3.04</v>
      </c>
      <c r="E233" s="4">
        <v>21</v>
      </c>
      <c r="F233" s="8">
        <v>1.24</v>
      </c>
      <c r="G233" s="4">
        <v>121</v>
      </c>
      <c r="H233" s="8">
        <v>4.1399999999999997</v>
      </c>
      <c r="I233" s="4">
        <v>0</v>
      </c>
    </row>
    <row r="234" spans="1:9" x14ac:dyDescent="0.2">
      <c r="A234" s="2">
        <v>11</v>
      </c>
      <c r="B234" s="1" t="s">
        <v>102</v>
      </c>
      <c r="C234" s="4">
        <v>134</v>
      </c>
      <c r="D234" s="8">
        <v>2.86</v>
      </c>
      <c r="E234" s="4">
        <v>9</v>
      </c>
      <c r="F234" s="8">
        <v>0.53</v>
      </c>
      <c r="G234" s="4">
        <v>125</v>
      </c>
      <c r="H234" s="8">
        <v>4.2699999999999996</v>
      </c>
      <c r="I234" s="4">
        <v>0</v>
      </c>
    </row>
    <row r="235" spans="1:9" x14ac:dyDescent="0.2">
      <c r="A235" s="2">
        <v>12</v>
      </c>
      <c r="B235" s="1" t="s">
        <v>110</v>
      </c>
      <c r="C235" s="4">
        <v>132</v>
      </c>
      <c r="D235" s="8">
        <v>2.82</v>
      </c>
      <c r="E235" s="4">
        <v>55</v>
      </c>
      <c r="F235" s="8">
        <v>3.24</v>
      </c>
      <c r="G235" s="4">
        <v>77</v>
      </c>
      <c r="H235" s="8">
        <v>2.63</v>
      </c>
      <c r="I235" s="4">
        <v>0</v>
      </c>
    </row>
    <row r="236" spans="1:9" x14ac:dyDescent="0.2">
      <c r="A236" s="2">
        <v>13</v>
      </c>
      <c r="B236" s="1" t="s">
        <v>124</v>
      </c>
      <c r="C236" s="4">
        <v>128</v>
      </c>
      <c r="D236" s="8">
        <v>2.74</v>
      </c>
      <c r="E236" s="4">
        <v>12</v>
      </c>
      <c r="F236" s="8">
        <v>0.71</v>
      </c>
      <c r="G236" s="4">
        <v>116</v>
      </c>
      <c r="H236" s="8">
        <v>3.96</v>
      </c>
      <c r="I236" s="4">
        <v>0</v>
      </c>
    </row>
    <row r="237" spans="1:9" x14ac:dyDescent="0.2">
      <c r="A237" s="2">
        <v>14</v>
      </c>
      <c r="B237" s="1" t="s">
        <v>106</v>
      </c>
      <c r="C237" s="4">
        <v>111</v>
      </c>
      <c r="D237" s="8">
        <v>2.37</v>
      </c>
      <c r="E237" s="4">
        <v>47</v>
      </c>
      <c r="F237" s="8">
        <v>2.76</v>
      </c>
      <c r="G237" s="4">
        <v>64</v>
      </c>
      <c r="H237" s="8">
        <v>2.19</v>
      </c>
      <c r="I237" s="4">
        <v>0</v>
      </c>
    </row>
    <row r="238" spans="1:9" x14ac:dyDescent="0.2">
      <c r="A238" s="2">
        <v>15</v>
      </c>
      <c r="B238" s="1" t="s">
        <v>103</v>
      </c>
      <c r="C238" s="4">
        <v>108</v>
      </c>
      <c r="D238" s="8">
        <v>2.31</v>
      </c>
      <c r="E238" s="4">
        <v>7</v>
      </c>
      <c r="F238" s="8">
        <v>0.41</v>
      </c>
      <c r="G238" s="4">
        <v>101</v>
      </c>
      <c r="H238" s="8">
        <v>3.45</v>
      </c>
      <c r="I238" s="4">
        <v>0</v>
      </c>
    </row>
    <row r="239" spans="1:9" x14ac:dyDescent="0.2">
      <c r="A239" s="2">
        <v>15</v>
      </c>
      <c r="B239" s="1" t="s">
        <v>104</v>
      </c>
      <c r="C239" s="4">
        <v>108</v>
      </c>
      <c r="D239" s="8">
        <v>2.31</v>
      </c>
      <c r="E239" s="4">
        <v>40</v>
      </c>
      <c r="F239" s="8">
        <v>2.35</v>
      </c>
      <c r="G239" s="4">
        <v>68</v>
      </c>
      <c r="H239" s="8">
        <v>2.3199999999999998</v>
      </c>
      <c r="I239" s="4">
        <v>0</v>
      </c>
    </row>
    <row r="240" spans="1:9" x14ac:dyDescent="0.2">
      <c r="A240" s="2">
        <v>17</v>
      </c>
      <c r="B240" s="1" t="s">
        <v>108</v>
      </c>
      <c r="C240" s="4">
        <v>102</v>
      </c>
      <c r="D240" s="8">
        <v>2.1800000000000002</v>
      </c>
      <c r="E240" s="4">
        <v>14</v>
      </c>
      <c r="F240" s="8">
        <v>0.82</v>
      </c>
      <c r="G240" s="4">
        <v>88</v>
      </c>
      <c r="H240" s="8">
        <v>3.01</v>
      </c>
      <c r="I240" s="4">
        <v>0</v>
      </c>
    </row>
    <row r="241" spans="1:9" x14ac:dyDescent="0.2">
      <c r="A241" s="2">
        <v>18</v>
      </c>
      <c r="B241" s="1" t="s">
        <v>101</v>
      </c>
      <c r="C241" s="4">
        <v>100</v>
      </c>
      <c r="D241" s="8">
        <v>2.14</v>
      </c>
      <c r="E241" s="4">
        <v>7</v>
      </c>
      <c r="F241" s="8">
        <v>0.41</v>
      </c>
      <c r="G241" s="4">
        <v>93</v>
      </c>
      <c r="H241" s="8">
        <v>3.18</v>
      </c>
      <c r="I241" s="4">
        <v>0</v>
      </c>
    </row>
    <row r="242" spans="1:9" x14ac:dyDescent="0.2">
      <c r="A242" s="2">
        <v>19</v>
      </c>
      <c r="B242" s="1" t="s">
        <v>117</v>
      </c>
      <c r="C242" s="4">
        <v>91</v>
      </c>
      <c r="D242" s="8">
        <v>1.95</v>
      </c>
      <c r="E242" s="4">
        <v>6</v>
      </c>
      <c r="F242" s="8">
        <v>0.35</v>
      </c>
      <c r="G242" s="4">
        <v>85</v>
      </c>
      <c r="H242" s="8">
        <v>2.9</v>
      </c>
      <c r="I242" s="4">
        <v>0</v>
      </c>
    </row>
    <row r="243" spans="1:9" x14ac:dyDescent="0.2">
      <c r="A243" s="2">
        <v>20</v>
      </c>
      <c r="B243" s="1" t="s">
        <v>116</v>
      </c>
      <c r="C243" s="4">
        <v>87</v>
      </c>
      <c r="D243" s="8">
        <v>1.86</v>
      </c>
      <c r="E243" s="4">
        <v>1</v>
      </c>
      <c r="F243" s="8">
        <v>0.06</v>
      </c>
      <c r="G243" s="4">
        <v>77</v>
      </c>
      <c r="H243" s="8">
        <v>2.63</v>
      </c>
      <c r="I243" s="4">
        <v>1</v>
      </c>
    </row>
    <row r="244" spans="1:9" x14ac:dyDescent="0.2">
      <c r="A244" s="1"/>
      <c r="C244" s="4"/>
      <c r="D244" s="8"/>
      <c r="E244" s="4"/>
      <c r="F244" s="8"/>
      <c r="G244" s="4"/>
      <c r="H244" s="8"/>
      <c r="I244" s="4"/>
    </row>
    <row r="245" spans="1:9" x14ac:dyDescent="0.2">
      <c r="A245" s="1" t="s">
        <v>11</v>
      </c>
      <c r="C245" s="4"/>
      <c r="D245" s="8"/>
      <c r="E245" s="4"/>
      <c r="F245" s="8"/>
      <c r="G245" s="4"/>
      <c r="H245" s="8"/>
      <c r="I245" s="4"/>
    </row>
    <row r="246" spans="1:9" x14ac:dyDescent="0.2">
      <c r="A246" s="2">
        <v>1</v>
      </c>
      <c r="B246" s="1" t="s">
        <v>112</v>
      </c>
      <c r="C246" s="4">
        <v>1417</v>
      </c>
      <c r="D246" s="8">
        <v>13.77</v>
      </c>
      <c r="E246" s="4">
        <v>1114</v>
      </c>
      <c r="F246" s="8">
        <v>39.74</v>
      </c>
      <c r="G246" s="4">
        <v>303</v>
      </c>
      <c r="H246" s="8">
        <v>4.09</v>
      </c>
      <c r="I246" s="4">
        <v>0</v>
      </c>
    </row>
    <row r="247" spans="1:9" x14ac:dyDescent="0.2">
      <c r="A247" s="2">
        <v>2</v>
      </c>
      <c r="B247" s="1" t="s">
        <v>109</v>
      </c>
      <c r="C247" s="4">
        <v>727</v>
      </c>
      <c r="D247" s="8">
        <v>7.07</v>
      </c>
      <c r="E247" s="4">
        <v>102</v>
      </c>
      <c r="F247" s="8">
        <v>3.64</v>
      </c>
      <c r="G247" s="4">
        <v>620</v>
      </c>
      <c r="H247" s="8">
        <v>8.3699999999999992</v>
      </c>
      <c r="I247" s="4">
        <v>2</v>
      </c>
    </row>
    <row r="248" spans="1:9" x14ac:dyDescent="0.2">
      <c r="A248" s="2">
        <v>3</v>
      </c>
      <c r="B248" s="1" t="s">
        <v>102</v>
      </c>
      <c r="C248" s="4">
        <v>719</v>
      </c>
      <c r="D248" s="8">
        <v>6.99</v>
      </c>
      <c r="E248" s="4">
        <v>8</v>
      </c>
      <c r="F248" s="8">
        <v>0.28999999999999998</v>
      </c>
      <c r="G248" s="4">
        <v>711</v>
      </c>
      <c r="H248" s="8">
        <v>9.6</v>
      </c>
      <c r="I248" s="4">
        <v>0</v>
      </c>
    </row>
    <row r="249" spans="1:9" x14ac:dyDescent="0.2">
      <c r="A249" s="2">
        <v>4</v>
      </c>
      <c r="B249" s="1" t="s">
        <v>110</v>
      </c>
      <c r="C249" s="4">
        <v>500</v>
      </c>
      <c r="D249" s="8">
        <v>4.8600000000000003</v>
      </c>
      <c r="E249" s="4">
        <v>199</v>
      </c>
      <c r="F249" s="8">
        <v>7.1</v>
      </c>
      <c r="G249" s="4">
        <v>299</v>
      </c>
      <c r="H249" s="8">
        <v>4.04</v>
      </c>
      <c r="I249" s="4">
        <v>2</v>
      </c>
    </row>
    <row r="250" spans="1:9" x14ac:dyDescent="0.2">
      <c r="A250" s="2">
        <v>5</v>
      </c>
      <c r="B250" s="1" t="s">
        <v>113</v>
      </c>
      <c r="C250" s="4">
        <v>478</v>
      </c>
      <c r="D250" s="8">
        <v>4.6500000000000004</v>
      </c>
      <c r="E250" s="4">
        <v>331</v>
      </c>
      <c r="F250" s="8">
        <v>11.81</v>
      </c>
      <c r="G250" s="4">
        <v>147</v>
      </c>
      <c r="H250" s="8">
        <v>1.98</v>
      </c>
      <c r="I250" s="4">
        <v>0</v>
      </c>
    </row>
    <row r="251" spans="1:9" x14ac:dyDescent="0.2">
      <c r="A251" s="2">
        <v>6</v>
      </c>
      <c r="B251" s="1" t="s">
        <v>103</v>
      </c>
      <c r="C251" s="4">
        <v>420</v>
      </c>
      <c r="D251" s="8">
        <v>4.08</v>
      </c>
      <c r="E251" s="4">
        <v>15</v>
      </c>
      <c r="F251" s="8">
        <v>0.54</v>
      </c>
      <c r="G251" s="4">
        <v>404</v>
      </c>
      <c r="H251" s="8">
        <v>5.45</v>
      </c>
      <c r="I251" s="4">
        <v>1</v>
      </c>
    </row>
    <row r="252" spans="1:9" x14ac:dyDescent="0.2">
      <c r="A252" s="2">
        <v>7</v>
      </c>
      <c r="B252" s="1" t="s">
        <v>101</v>
      </c>
      <c r="C252" s="4">
        <v>379</v>
      </c>
      <c r="D252" s="8">
        <v>3.68</v>
      </c>
      <c r="E252" s="4">
        <v>9</v>
      </c>
      <c r="F252" s="8">
        <v>0.32</v>
      </c>
      <c r="G252" s="4">
        <v>370</v>
      </c>
      <c r="H252" s="8">
        <v>5</v>
      </c>
      <c r="I252" s="4">
        <v>0</v>
      </c>
    </row>
    <row r="253" spans="1:9" x14ac:dyDescent="0.2">
      <c r="A253" s="2">
        <v>8</v>
      </c>
      <c r="B253" s="1" t="s">
        <v>107</v>
      </c>
      <c r="C253" s="4">
        <v>366</v>
      </c>
      <c r="D253" s="8">
        <v>3.56</v>
      </c>
      <c r="E253" s="4">
        <v>109</v>
      </c>
      <c r="F253" s="8">
        <v>3.89</v>
      </c>
      <c r="G253" s="4">
        <v>257</v>
      </c>
      <c r="H253" s="8">
        <v>3.47</v>
      </c>
      <c r="I253" s="4">
        <v>0</v>
      </c>
    </row>
    <row r="254" spans="1:9" x14ac:dyDescent="0.2">
      <c r="A254" s="2">
        <v>9</v>
      </c>
      <c r="B254" s="1" t="s">
        <v>105</v>
      </c>
      <c r="C254" s="4">
        <v>340</v>
      </c>
      <c r="D254" s="8">
        <v>3.3</v>
      </c>
      <c r="E254" s="4">
        <v>164</v>
      </c>
      <c r="F254" s="8">
        <v>5.85</v>
      </c>
      <c r="G254" s="4">
        <v>176</v>
      </c>
      <c r="H254" s="8">
        <v>2.38</v>
      </c>
      <c r="I254" s="4">
        <v>0</v>
      </c>
    </row>
    <row r="255" spans="1:9" x14ac:dyDescent="0.2">
      <c r="A255" s="2">
        <v>10</v>
      </c>
      <c r="B255" s="1" t="s">
        <v>100</v>
      </c>
      <c r="C255" s="4">
        <v>336</v>
      </c>
      <c r="D255" s="8">
        <v>3.27</v>
      </c>
      <c r="E255" s="4">
        <v>21</v>
      </c>
      <c r="F255" s="8">
        <v>0.75</v>
      </c>
      <c r="G255" s="4">
        <v>315</v>
      </c>
      <c r="H255" s="8">
        <v>4.25</v>
      </c>
      <c r="I255" s="4">
        <v>0</v>
      </c>
    </row>
    <row r="256" spans="1:9" x14ac:dyDescent="0.2">
      <c r="A256" s="2">
        <v>11</v>
      </c>
      <c r="B256" s="1" t="s">
        <v>98</v>
      </c>
      <c r="C256" s="4">
        <v>317</v>
      </c>
      <c r="D256" s="8">
        <v>3.08</v>
      </c>
      <c r="E256" s="4">
        <v>6</v>
      </c>
      <c r="F256" s="8">
        <v>0.21</v>
      </c>
      <c r="G256" s="4">
        <v>311</v>
      </c>
      <c r="H256" s="8">
        <v>4.2</v>
      </c>
      <c r="I256" s="4">
        <v>0</v>
      </c>
    </row>
    <row r="257" spans="1:9" x14ac:dyDescent="0.2">
      <c r="A257" s="2">
        <v>12</v>
      </c>
      <c r="B257" s="1" t="s">
        <v>117</v>
      </c>
      <c r="C257" s="4">
        <v>305</v>
      </c>
      <c r="D257" s="8">
        <v>2.96</v>
      </c>
      <c r="E257" s="4">
        <v>14</v>
      </c>
      <c r="F257" s="8">
        <v>0.5</v>
      </c>
      <c r="G257" s="4">
        <v>283</v>
      </c>
      <c r="H257" s="8">
        <v>3.82</v>
      </c>
      <c r="I257" s="4">
        <v>7</v>
      </c>
    </row>
    <row r="258" spans="1:9" x14ac:dyDescent="0.2">
      <c r="A258" s="2">
        <v>13</v>
      </c>
      <c r="B258" s="1" t="s">
        <v>111</v>
      </c>
      <c r="C258" s="4">
        <v>299</v>
      </c>
      <c r="D258" s="8">
        <v>2.91</v>
      </c>
      <c r="E258" s="4">
        <v>37</v>
      </c>
      <c r="F258" s="8">
        <v>1.32</v>
      </c>
      <c r="G258" s="4">
        <v>262</v>
      </c>
      <c r="H258" s="8">
        <v>3.54</v>
      </c>
      <c r="I258" s="4">
        <v>0</v>
      </c>
    </row>
    <row r="259" spans="1:9" x14ac:dyDescent="0.2">
      <c r="A259" s="2">
        <v>14</v>
      </c>
      <c r="B259" s="1" t="s">
        <v>99</v>
      </c>
      <c r="C259" s="4">
        <v>273</v>
      </c>
      <c r="D259" s="8">
        <v>2.65</v>
      </c>
      <c r="E259" s="4">
        <v>17</v>
      </c>
      <c r="F259" s="8">
        <v>0.61</v>
      </c>
      <c r="G259" s="4">
        <v>256</v>
      </c>
      <c r="H259" s="8">
        <v>3.46</v>
      </c>
      <c r="I259" s="4">
        <v>0</v>
      </c>
    </row>
    <row r="260" spans="1:9" x14ac:dyDescent="0.2">
      <c r="A260" s="2">
        <v>15</v>
      </c>
      <c r="B260" s="1" t="s">
        <v>125</v>
      </c>
      <c r="C260" s="4">
        <v>257</v>
      </c>
      <c r="D260" s="8">
        <v>2.5</v>
      </c>
      <c r="E260" s="4">
        <v>1</v>
      </c>
      <c r="F260" s="8">
        <v>0.04</v>
      </c>
      <c r="G260" s="4">
        <v>255</v>
      </c>
      <c r="H260" s="8">
        <v>3.44</v>
      </c>
      <c r="I260" s="4">
        <v>1</v>
      </c>
    </row>
    <row r="261" spans="1:9" x14ac:dyDescent="0.2">
      <c r="A261" s="2">
        <v>16</v>
      </c>
      <c r="B261" s="1" t="s">
        <v>104</v>
      </c>
      <c r="C261" s="4">
        <v>244</v>
      </c>
      <c r="D261" s="8">
        <v>2.37</v>
      </c>
      <c r="E261" s="4">
        <v>43</v>
      </c>
      <c r="F261" s="8">
        <v>1.53</v>
      </c>
      <c r="G261" s="4">
        <v>201</v>
      </c>
      <c r="H261" s="8">
        <v>2.71</v>
      </c>
      <c r="I261" s="4">
        <v>0</v>
      </c>
    </row>
    <row r="262" spans="1:9" x14ac:dyDescent="0.2">
      <c r="A262" s="2">
        <v>17</v>
      </c>
      <c r="B262" s="1" t="s">
        <v>108</v>
      </c>
      <c r="C262" s="4">
        <v>232</v>
      </c>
      <c r="D262" s="8">
        <v>2.25</v>
      </c>
      <c r="E262" s="4">
        <v>19</v>
      </c>
      <c r="F262" s="8">
        <v>0.68</v>
      </c>
      <c r="G262" s="4">
        <v>213</v>
      </c>
      <c r="H262" s="8">
        <v>2.88</v>
      </c>
      <c r="I262" s="4">
        <v>0</v>
      </c>
    </row>
    <row r="263" spans="1:9" x14ac:dyDescent="0.2">
      <c r="A263" s="2">
        <v>18</v>
      </c>
      <c r="B263" s="1" t="s">
        <v>124</v>
      </c>
      <c r="C263" s="4">
        <v>230</v>
      </c>
      <c r="D263" s="8">
        <v>2.2400000000000002</v>
      </c>
      <c r="E263" s="4">
        <v>13</v>
      </c>
      <c r="F263" s="8">
        <v>0.46</v>
      </c>
      <c r="G263" s="4">
        <v>217</v>
      </c>
      <c r="H263" s="8">
        <v>2.93</v>
      </c>
      <c r="I263" s="4">
        <v>0</v>
      </c>
    </row>
    <row r="264" spans="1:9" x14ac:dyDescent="0.2">
      <c r="A264" s="2">
        <v>19</v>
      </c>
      <c r="B264" s="1" t="s">
        <v>115</v>
      </c>
      <c r="C264" s="4">
        <v>227</v>
      </c>
      <c r="D264" s="8">
        <v>2.21</v>
      </c>
      <c r="E264" s="4">
        <v>186</v>
      </c>
      <c r="F264" s="8">
        <v>6.64</v>
      </c>
      <c r="G264" s="4">
        <v>41</v>
      </c>
      <c r="H264" s="8">
        <v>0.55000000000000004</v>
      </c>
      <c r="I264" s="4">
        <v>0</v>
      </c>
    </row>
    <row r="265" spans="1:9" x14ac:dyDescent="0.2">
      <c r="A265" s="2">
        <v>20</v>
      </c>
      <c r="B265" s="1" t="s">
        <v>114</v>
      </c>
      <c r="C265" s="4">
        <v>187</v>
      </c>
      <c r="D265" s="8">
        <v>1.82</v>
      </c>
      <c r="E265" s="4">
        <v>66</v>
      </c>
      <c r="F265" s="8">
        <v>2.35</v>
      </c>
      <c r="G265" s="4">
        <v>95</v>
      </c>
      <c r="H265" s="8">
        <v>1.28</v>
      </c>
      <c r="I265" s="4">
        <v>1</v>
      </c>
    </row>
    <row r="266" spans="1:9" x14ac:dyDescent="0.2">
      <c r="A266" s="1"/>
      <c r="C266" s="4"/>
      <c r="D266" s="8"/>
      <c r="E266" s="4"/>
      <c r="F266" s="8"/>
      <c r="G266" s="4"/>
      <c r="H266" s="8"/>
      <c r="I266" s="4"/>
    </row>
    <row r="267" spans="1:9" x14ac:dyDescent="0.2">
      <c r="A267" s="1" t="s">
        <v>12</v>
      </c>
      <c r="C267" s="4"/>
      <c r="D267" s="8"/>
      <c r="E267" s="4"/>
      <c r="F267" s="8"/>
      <c r="G267" s="4"/>
      <c r="H267" s="8"/>
      <c r="I267" s="4"/>
    </row>
    <row r="268" spans="1:9" x14ac:dyDescent="0.2">
      <c r="A268" s="2">
        <v>1</v>
      </c>
      <c r="B268" s="1" t="s">
        <v>112</v>
      </c>
      <c r="C268" s="4">
        <v>1614</v>
      </c>
      <c r="D268" s="8">
        <v>16.28</v>
      </c>
      <c r="E268" s="4">
        <v>1279</v>
      </c>
      <c r="F268" s="8">
        <v>32.29</v>
      </c>
      <c r="G268" s="4">
        <v>335</v>
      </c>
      <c r="H268" s="8">
        <v>5.66</v>
      </c>
      <c r="I268" s="4">
        <v>0</v>
      </c>
    </row>
    <row r="269" spans="1:9" x14ac:dyDescent="0.2">
      <c r="A269" s="2">
        <v>2</v>
      </c>
      <c r="B269" s="1" t="s">
        <v>110</v>
      </c>
      <c r="C269" s="4">
        <v>1047</v>
      </c>
      <c r="D269" s="8">
        <v>10.56</v>
      </c>
      <c r="E269" s="4">
        <v>649</v>
      </c>
      <c r="F269" s="8">
        <v>16.38</v>
      </c>
      <c r="G269" s="4">
        <v>398</v>
      </c>
      <c r="H269" s="8">
        <v>6.72</v>
      </c>
      <c r="I269" s="4">
        <v>0</v>
      </c>
    </row>
    <row r="270" spans="1:9" x14ac:dyDescent="0.2">
      <c r="A270" s="2">
        <v>3</v>
      </c>
      <c r="B270" s="1" t="s">
        <v>113</v>
      </c>
      <c r="C270" s="4">
        <v>846</v>
      </c>
      <c r="D270" s="8">
        <v>8.5299999999999994</v>
      </c>
      <c r="E270" s="4">
        <v>586</v>
      </c>
      <c r="F270" s="8">
        <v>14.79</v>
      </c>
      <c r="G270" s="4">
        <v>260</v>
      </c>
      <c r="H270" s="8">
        <v>4.3899999999999997</v>
      </c>
      <c r="I270" s="4">
        <v>0</v>
      </c>
    </row>
    <row r="271" spans="1:9" x14ac:dyDescent="0.2">
      <c r="A271" s="2">
        <v>4</v>
      </c>
      <c r="B271" s="1" t="s">
        <v>109</v>
      </c>
      <c r="C271" s="4">
        <v>840</v>
      </c>
      <c r="D271" s="8">
        <v>8.4700000000000006</v>
      </c>
      <c r="E271" s="4">
        <v>132</v>
      </c>
      <c r="F271" s="8">
        <v>3.33</v>
      </c>
      <c r="G271" s="4">
        <v>706</v>
      </c>
      <c r="H271" s="8">
        <v>11.92</v>
      </c>
      <c r="I271" s="4">
        <v>2</v>
      </c>
    </row>
    <row r="272" spans="1:9" x14ac:dyDescent="0.2">
      <c r="A272" s="2">
        <v>5</v>
      </c>
      <c r="B272" s="1" t="s">
        <v>107</v>
      </c>
      <c r="C272" s="4">
        <v>565</v>
      </c>
      <c r="D272" s="8">
        <v>5.7</v>
      </c>
      <c r="E272" s="4">
        <v>225</v>
      </c>
      <c r="F272" s="8">
        <v>5.68</v>
      </c>
      <c r="G272" s="4">
        <v>340</v>
      </c>
      <c r="H272" s="8">
        <v>5.74</v>
      </c>
      <c r="I272" s="4">
        <v>0</v>
      </c>
    </row>
    <row r="273" spans="1:9" x14ac:dyDescent="0.2">
      <c r="A273" s="2">
        <v>6</v>
      </c>
      <c r="B273" s="1" t="s">
        <v>104</v>
      </c>
      <c r="C273" s="4">
        <v>538</v>
      </c>
      <c r="D273" s="8">
        <v>5.43</v>
      </c>
      <c r="E273" s="4">
        <v>140</v>
      </c>
      <c r="F273" s="8">
        <v>3.53</v>
      </c>
      <c r="G273" s="4">
        <v>398</v>
      </c>
      <c r="H273" s="8">
        <v>6.72</v>
      </c>
      <c r="I273" s="4">
        <v>0</v>
      </c>
    </row>
    <row r="274" spans="1:9" x14ac:dyDescent="0.2">
      <c r="A274" s="2">
        <v>7</v>
      </c>
      <c r="B274" s="1" t="s">
        <v>114</v>
      </c>
      <c r="C274" s="4">
        <v>357</v>
      </c>
      <c r="D274" s="8">
        <v>3.6</v>
      </c>
      <c r="E274" s="4">
        <v>177</v>
      </c>
      <c r="F274" s="8">
        <v>4.47</v>
      </c>
      <c r="G274" s="4">
        <v>165</v>
      </c>
      <c r="H274" s="8">
        <v>2.79</v>
      </c>
      <c r="I274" s="4">
        <v>1</v>
      </c>
    </row>
    <row r="275" spans="1:9" x14ac:dyDescent="0.2">
      <c r="A275" s="2">
        <v>8</v>
      </c>
      <c r="B275" s="1" t="s">
        <v>115</v>
      </c>
      <c r="C275" s="4">
        <v>330</v>
      </c>
      <c r="D275" s="8">
        <v>3.33</v>
      </c>
      <c r="E275" s="4">
        <v>265</v>
      </c>
      <c r="F275" s="8">
        <v>6.69</v>
      </c>
      <c r="G275" s="4">
        <v>65</v>
      </c>
      <c r="H275" s="8">
        <v>1.1000000000000001</v>
      </c>
      <c r="I275" s="4">
        <v>0</v>
      </c>
    </row>
    <row r="276" spans="1:9" x14ac:dyDescent="0.2">
      <c r="A276" s="2">
        <v>9</v>
      </c>
      <c r="B276" s="1" t="s">
        <v>108</v>
      </c>
      <c r="C276" s="4">
        <v>321</v>
      </c>
      <c r="D276" s="8">
        <v>3.24</v>
      </c>
      <c r="E276" s="4">
        <v>29</v>
      </c>
      <c r="F276" s="8">
        <v>0.73</v>
      </c>
      <c r="G276" s="4">
        <v>292</v>
      </c>
      <c r="H276" s="8">
        <v>4.93</v>
      </c>
      <c r="I276" s="4">
        <v>0</v>
      </c>
    </row>
    <row r="277" spans="1:9" x14ac:dyDescent="0.2">
      <c r="A277" s="2">
        <v>10</v>
      </c>
      <c r="B277" s="1" t="s">
        <v>111</v>
      </c>
      <c r="C277" s="4">
        <v>271</v>
      </c>
      <c r="D277" s="8">
        <v>2.73</v>
      </c>
      <c r="E277" s="4">
        <v>67</v>
      </c>
      <c r="F277" s="8">
        <v>1.69</v>
      </c>
      <c r="G277" s="4">
        <v>203</v>
      </c>
      <c r="H277" s="8">
        <v>3.43</v>
      </c>
      <c r="I277" s="4">
        <v>1</v>
      </c>
    </row>
    <row r="278" spans="1:9" x14ac:dyDescent="0.2">
      <c r="A278" s="2">
        <v>11</v>
      </c>
      <c r="B278" s="1" t="s">
        <v>105</v>
      </c>
      <c r="C278" s="4">
        <v>266</v>
      </c>
      <c r="D278" s="8">
        <v>2.68</v>
      </c>
      <c r="E278" s="4">
        <v>145</v>
      </c>
      <c r="F278" s="8">
        <v>3.66</v>
      </c>
      <c r="G278" s="4">
        <v>120</v>
      </c>
      <c r="H278" s="8">
        <v>2.0299999999999998</v>
      </c>
      <c r="I278" s="4">
        <v>1</v>
      </c>
    </row>
    <row r="279" spans="1:9" x14ac:dyDescent="0.2">
      <c r="A279" s="2">
        <v>12</v>
      </c>
      <c r="B279" s="1" t="s">
        <v>117</v>
      </c>
      <c r="C279" s="4">
        <v>263</v>
      </c>
      <c r="D279" s="8">
        <v>2.65</v>
      </c>
      <c r="E279" s="4">
        <v>14</v>
      </c>
      <c r="F279" s="8">
        <v>0.35</v>
      </c>
      <c r="G279" s="4">
        <v>243</v>
      </c>
      <c r="H279" s="8">
        <v>4.0999999999999996</v>
      </c>
      <c r="I279" s="4">
        <v>5</v>
      </c>
    </row>
    <row r="280" spans="1:9" x14ac:dyDescent="0.2">
      <c r="A280" s="2">
        <v>13</v>
      </c>
      <c r="B280" s="1" t="s">
        <v>103</v>
      </c>
      <c r="C280" s="4">
        <v>191</v>
      </c>
      <c r="D280" s="8">
        <v>1.93</v>
      </c>
      <c r="E280" s="4">
        <v>9</v>
      </c>
      <c r="F280" s="8">
        <v>0.23</v>
      </c>
      <c r="G280" s="4">
        <v>182</v>
      </c>
      <c r="H280" s="8">
        <v>3.07</v>
      </c>
      <c r="I280" s="4">
        <v>0</v>
      </c>
    </row>
    <row r="281" spans="1:9" x14ac:dyDescent="0.2">
      <c r="A281" s="2">
        <v>14</v>
      </c>
      <c r="B281" s="1" t="s">
        <v>98</v>
      </c>
      <c r="C281" s="4">
        <v>164</v>
      </c>
      <c r="D281" s="8">
        <v>1.65</v>
      </c>
      <c r="E281" s="4">
        <v>4</v>
      </c>
      <c r="F281" s="8">
        <v>0.1</v>
      </c>
      <c r="G281" s="4">
        <v>160</v>
      </c>
      <c r="H281" s="8">
        <v>2.7</v>
      </c>
      <c r="I281" s="4">
        <v>0</v>
      </c>
    </row>
    <row r="282" spans="1:9" x14ac:dyDescent="0.2">
      <c r="A282" s="2">
        <v>15</v>
      </c>
      <c r="B282" s="1" t="s">
        <v>102</v>
      </c>
      <c r="C282" s="4">
        <v>156</v>
      </c>
      <c r="D282" s="8">
        <v>1.57</v>
      </c>
      <c r="E282" s="4">
        <v>3</v>
      </c>
      <c r="F282" s="8">
        <v>0.08</v>
      </c>
      <c r="G282" s="4">
        <v>153</v>
      </c>
      <c r="H282" s="8">
        <v>2.58</v>
      </c>
      <c r="I282" s="4">
        <v>0</v>
      </c>
    </row>
    <row r="283" spans="1:9" x14ac:dyDescent="0.2">
      <c r="A283" s="2">
        <v>15</v>
      </c>
      <c r="B283" s="1" t="s">
        <v>118</v>
      </c>
      <c r="C283" s="4">
        <v>156</v>
      </c>
      <c r="D283" s="8">
        <v>1.57</v>
      </c>
      <c r="E283" s="4">
        <v>37</v>
      </c>
      <c r="F283" s="8">
        <v>0.93</v>
      </c>
      <c r="G283" s="4">
        <v>119</v>
      </c>
      <c r="H283" s="8">
        <v>2.0099999999999998</v>
      </c>
      <c r="I283" s="4">
        <v>0</v>
      </c>
    </row>
    <row r="284" spans="1:9" x14ac:dyDescent="0.2">
      <c r="A284" s="2">
        <v>17</v>
      </c>
      <c r="B284" s="1" t="s">
        <v>124</v>
      </c>
      <c r="C284" s="4">
        <v>145</v>
      </c>
      <c r="D284" s="8">
        <v>1.46</v>
      </c>
      <c r="E284" s="4">
        <v>8</v>
      </c>
      <c r="F284" s="8">
        <v>0.2</v>
      </c>
      <c r="G284" s="4">
        <v>137</v>
      </c>
      <c r="H284" s="8">
        <v>2.31</v>
      </c>
      <c r="I284" s="4">
        <v>0</v>
      </c>
    </row>
    <row r="285" spans="1:9" x14ac:dyDescent="0.2">
      <c r="A285" s="2">
        <v>18</v>
      </c>
      <c r="B285" s="1" t="s">
        <v>126</v>
      </c>
      <c r="C285" s="4">
        <v>144</v>
      </c>
      <c r="D285" s="8">
        <v>1.45</v>
      </c>
      <c r="E285" s="4">
        <v>4</v>
      </c>
      <c r="F285" s="8">
        <v>0.1</v>
      </c>
      <c r="G285" s="4">
        <v>140</v>
      </c>
      <c r="H285" s="8">
        <v>2.36</v>
      </c>
      <c r="I285" s="4">
        <v>0</v>
      </c>
    </row>
    <row r="286" spans="1:9" x14ac:dyDescent="0.2">
      <c r="A286" s="2">
        <v>19</v>
      </c>
      <c r="B286" s="1" t="s">
        <v>125</v>
      </c>
      <c r="C286" s="4">
        <v>143</v>
      </c>
      <c r="D286" s="8">
        <v>1.44</v>
      </c>
      <c r="E286" s="4">
        <v>3</v>
      </c>
      <c r="F286" s="8">
        <v>0.08</v>
      </c>
      <c r="G286" s="4">
        <v>140</v>
      </c>
      <c r="H286" s="8">
        <v>2.36</v>
      </c>
      <c r="I286" s="4">
        <v>0</v>
      </c>
    </row>
    <row r="287" spans="1:9" x14ac:dyDescent="0.2">
      <c r="A287" s="2">
        <v>20</v>
      </c>
      <c r="B287" s="1" t="s">
        <v>101</v>
      </c>
      <c r="C287" s="4">
        <v>142</v>
      </c>
      <c r="D287" s="8">
        <v>1.43</v>
      </c>
      <c r="E287" s="4">
        <v>2</v>
      </c>
      <c r="F287" s="8">
        <v>0.05</v>
      </c>
      <c r="G287" s="4">
        <v>140</v>
      </c>
      <c r="H287" s="8">
        <v>2.36</v>
      </c>
      <c r="I287" s="4">
        <v>0</v>
      </c>
    </row>
    <row r="288" spans="1:9" x14ac:dyDescent="0.2">
      <c r="A288" s="1"/>
      <c r="C288" s="4"/>
      <c r="D288" s="8"/>
      <c r="E288" s="4"/>
      <c r="F288" s="8"/>
      <c r="G288" s="4"/>
      <c r="H288" s="8"/>
      <c r="I288" s="4"/>
    </row>
    <row r="289" spans="1:9" x14ac:dyDescent="0.2">
      <c r="A289" s="1" t="s">
        <v>13</v>
      </c>
      <c r="C289" s="4"/>
      <c r="D289" s="8"/>
      <c r="E289" s="4"/>
      <c r="F289" s="8"/>
      <c r="G289" s="4"/>
      <c r="H289" s="8"/>
      <c r="I289" s="4"/>
    </row>
    <row r="290" spans="1:9" x14ac:dyDescent="0.2">
      <c r="A290" s="2">
        <v>1</v>
      </c>
      <c r="B290" s="1" t="s">
        <v>109</v>
      </c>
      <c r="C290" s="4">
        <v>607</v>
      </c>
      <c r="D290" s="8">
        <v>11.54</v>
      </c>
      <c r="E290" s="4">
        <v>189</v>
      </c>
      <c r="F290" s="8">
        <v>8.3800000000000008</v>
      </c>
      <c r="G290" s="4">
        <v>416</v>
      </c>
      <c r="H290" s="8">
        <v>14.07</v>
      </c>
      <c r="I290" s="4">
        <v>2</v>
      </c>
    </row>
    <row r="291" spans="1:9" x14ac:dyDescent="0.2">
      <c r="A291" s="2">
        <v>2</v>
      </c>
      <c r="B291" s="1" t="s">
        <v>113</v>
      </c>
      <c r="C291" s="4">
        <v>523</v>
      </c>
      <c r="D291" s="8">
        <v>9.9499999999999993</v>
      </c>
      <c r="E291" s="4">
        <v>409</v>
      </c>
      <c r="F291" s="8">
        <v>18.14</v>
      </c>
      <c r="G291" s="4">
        <v>114</v>
      </c>
      <c r="H291" s="8">
        <v>3.86</v>
      </c>
      <c r="I291" s="4">
        <v>0</v>
      </c>
    </row>
    <row r="292" spans="1:9" x14ac:dyDescent="0.2">
      <c r="A292" s="2">
        <v>3</v>
      </c>
      <c r="B292" s="1" t="s">
        <v>112</v>
      </c>
      <c r="C292" s="4">
        <v>488</v>
      </c>
      <c r="D292" s="8">
        <v>9.2799999999999994</v>
      </c>
      <c r="E292" s="4">
        <v>428</v>
      </c>
      <c r="F292" s="8">
        <v>18.98</v>
      </c>
      <c r="G292" s="4">
        <v>60</v>
      </c>
      <c r="H292" s="8">
        <v>2.0299999999999998</v>
      </c>
      <c r="I292" s="4">
        <v>0</v>
      </c>
    </row>
    <row r="293" spans="1:9" x14ac:dyDescent="0.2">
      <c r="A293" s="2">
        <v>4</v>
      </c>
      <c r="B293" s="1" t="s">
        <v>107</v>
      </c>
      <c r="C293" s="4">
        <v>299</v>
      </c>
      <c r="D293" s="8">
        <v>5.69</v>
      </c>
      <c r="E293" s="4">
        <v>127</v>
      </c>
      <c r="F293" s="8">
        <v>5.63</v>
      </c>
      <c r="G293" s="4">
        <v>172</v>
      </c>
      <c r="H293" s="8">
        <v>5.82</v>
      </c>
      <c r="I293" s="4">
        <v>0</v>
      </c>
    </row>
    <row r="294" spans="1:9" x14ac:dyDescent="0.2">
      <c r="A294" s="2">
        <v>5</v>
      </c>
      <c r="B294" s="1" t="s">
        <v>98</v>
      </c>
      <c r="C294" s="4">
        <v>292</v>
      </c>
      <c r="D294" s="8">
        <v>5.55</v>
      </c>
      <c r="E294" s="4">
        <v>30</v>
      </c>
      <c r="F294" s="8">
        <v>1.33</v>
      </c>
      <c r="G294" s="4">
        <v>262</v>
      </c>
      <c r="H294" s="8">
        <v>8.86</v>
      </c>
      <c r="I294" s="4">
        <v>0</v>
      </c>
    </row>
    <row r="295" spans="1:9" x14ac:dyDescent="0.2">
      <c r="A295" s="2">
        <v>6</v>
      </c>
      <c r="B295" s="1" t="s">
        <v>114</v>
      </c>
      <c r="C295" s="4">
        <v>224</v>
      </c>
      <c r="D295" s="8">
        <v>4.26</v>
      </c>
      <c r="E295" s="4">
        <v>136</v>
      </c>
      <c r="F295" s="8">
        <v>6.03</v>
      </c>
      <c r="G295" s="4">
        <v>62</v>
      </c>
      <c r="H295" s="8">
        <v>2.1</v>
      </c>
      <c r="I295" s="4">
        <v>1</v>
      </c>
    </row>
    <row r="296" spans="1:9" x14ac:dyDescent="0.2">
      <c r="A296" s="2">
        <v>7</v>
      </c>
      <c r="B296" s="1" t="s">
        <v>99</v>
      </c>
      <c r="C296" s="4">
        <v>222</v>
      </c>
      <c r="D296" s="8">
        <v>4.22</v>
      </c>
      <c r="E296" s="4">
        <v>32</v>
      </c>
      <c r="F296" s="8">
        <v>1.42</v>
      </c>
      <c r="G296" s="4">
        <v>190</v>
      </c>
      <c r="H296" s="8">
        <v>6.43</v>
      </c>
      <c r="I296" s="4">
        <v>0</v>
      </c>
    </row>
    <row r="297" spans="1:9" x14ac:dyDescent="0.2">
      <c r="A297" s="2">
        <v>8</v>
      </c>
      <c r="B297" s="1" t="s">
        <v>115</v>
      </c>
      <c r="C297" s="4">
        <v>217</v>
      </c>
      <c r="D297" s="8">
        <v>4.13</v>
      </c>
      <c r="E297" s="4">
        <v>182</v>
      </c>
      <c r="F297" s="8">
        <v>8.07</v>
      </c>
      <c r="G297" s="4">
        <v>35</v>
      </c>
      <c r="H297" s="8">
        <v>1.18</v>
      </c>
      <c r="I297" s="4">
        <v>0</v>
      </c>
    </row>
    <row r="298" spans="1:9" x14ac:dyDescent="0.2">
      <c r="A298" s="2">
        <v>9</v>
      </c>
      <c r="B298" s="1" t="s">
        <v>100</v>
      </c>
      <c r="C298" s="4">
        <v>209</v>
      </c>
      <c r="D298" s="8">
        <v>3.97</v>
      </c>
      <c r="E298" s="4">
        <v>30</v>
      </c>
      <c r="F298" s="8">
        <v>1.33</v>
      </c>
      <c r="G298" s="4">
        <v>179</v>
      </c>
      <c r="H298" s="8">
        <v>6.05</v>
      </c>
      <c r="I298" s="4">
        <v>0</v>
      </c>
    </row>
    <row r="299" spans="1:9" x14ac:dyDescent="0.2">
      <c r="A299" s="2">
        <v>10</v>
      </c>
      <c r="B299" s="1" t="s">
        <v>105</v>
      </c>
      <c r="C299" s="4">
        <v>203</v>
      </c>
      <c r="D299" s="8">
        <v>3.86</v>
      </c>
      <c r="E299" s="4">
        <v>141</v>
      </c>
      <c r="F299" s="8">
        <v>6.25</v>
      </c>
      <c r="G299" s="4">
        <v>62</v>
      </c>
      <c r="H299" s="8">
        <v>2.1</v>
      </c>
      <c r="I299" s="4">
        <v>0</v>
      </c>
    </row>
    <row r="300" spans="1:9" x14ac:dyDescent="0.2">
      <c r="A300" s="2">
        <v>11</v>
      </c>
      <c r="B300" s="1" t="s">
        <v>111</v>
      </c>
      <c r="C300" s="4">
        <v>195</v>
      </c>
      <c r="D300" s="8">
        <v>3.71</v>
      </c>
      <c r="E300" s="4">
        <v>65</v>
      </c>
      <c r="F300" s="8">
        <v>2.88</v>
      </c>
      <c r="G300" s="4">
        <v>130</v>
      </c>
      <c r="H300" s="8">
        <v>4.4000000000000004</v>
      </c>
      <c r="I300" s="4">
        <v>0</v>
      </c>
    </row>
    <row r="301" spans="1:9" x14ac:dyDescent="0.2">
      <c r="A301" s="2">
        <v>12</v>
      </c>
      <c r="B301" s="1" t="s">
        <v>110</v>
      </c>
      <c r="C301" s="4">
        <v>188</v>
      </c>
      <c r="D301" s="8">
        <v>3.58</v>
      </c>
      <c r="E301" s="4">
        <v>73</v>
      </c>
      <c r="F301" s="8">
        <v>3.24</v>
      </c>
      <c r="G301" s="4">
        <v>115</v>
      </c>
      <c r="H301" s="8">
        <v>3.89</v>
      </c>
      <c r="I301" s="4">
        <v>0</v>
      </c>
    </row>
    <row r="302" spans="1:9" x14ac:dyDescent="0.2">
      <c r="A302" s="2">
        <v>13</v>
      </c>
      <c r="B302" s="1" t="s">
        <v>108</v>
      </c>
      <c r="C302" s="4">
        <v>138</v>
      </c>
      <c r="D302" s="8">
        <v>2.62</v>
      </c>
      <c r="E302" s="4">
        <v>25</v>
      </c>
      <c r="F302" s="8">
        <v>1.1100000000000001</v>
      </c>
      <c r="G302" s="4">
        <v>113</v>
      </c>
      <c r="H302" s="8">
        <v>3.82</v>
      </c>
      <c r="I302" s="4">
        <v>0</v>
      </c>
    </row>
    <row r="303" spans="1:9" x14ac:dyDescent="0.2">
      <c r="A303" s="2">
        <v>14</v>
      </c>
      <c r="B303" s="1" t="s">
        <v>106</v>
      </c>
      <c r="C303" s="4">
        <v>121</v>
      </c>
      <c r="D303" s="8">
        <v>2.2999999999999998</v>
      </c>
      <c r="E303" s="4">
        <v>79</v>
      </c>
      <c r="F303" s="8">
        <v>3.5</v>
      </c>
      <c r="G303" s="4">
        <v>42</v>
      </c>
      <c r="H303" s="8">
        <v>1.42</v>
      </c>
      <c r="I303" s="4">
        <v>0</v>
      </c>
    </row>
    <row r="304" spans="1:9" x14ac:dyDescent="0.2">
      <c r="A304" s="2">
        <v>15</v>
      </c>
      <c r="B304" s="1" t="s">
        <v>102</v>
      </c>
      <c r="C304" s="4">
        <v>111</v>
      </c>
      <c r="D304" s="8">
        <v>2.11</v>
      </c>
      <c r="E304" s="4">
        <v>7</v>
      </c>
      <c r="F304" s="8">
        <v>0.31</v>
      </c>
      <c r="G304" s="4">
        <v>104</v>
      </c>
      <c r="H304" s="8">
        <v>3.52</v>
      </c>
      <c r="I304" s="4">
        <v>0</v>
      </c>
    </row>
    <row r="305" spans="1:9" x14ac:dyDescent="0.2">
      <c r="A305" s="2">
        <v>16</v>
      </c>
      <c r="B305" s="1" t="s">
        <v>103</v>
      </c>
      <c r="C305" s="4">
        <v>104</v>
      </c>
      <c r="D305" s="8">
        <v>1.98</v>
      </c>
      <c r="E305" s="4">
        <v>13</v>
      </c>
      <c r="F305" s="8">
        <v>0.57999999999999996</v>
      </c>
      <c r="G305" s="4">
        <v>91</v>
      </c>
      <c r="H305" s="8">
        <v>3.08</v>
      </c>
      <c r="I305" s="4">
        <v>0</v>
      </c>
    </row>
    <row r="306" spans="1:9" x14ac:dyDescent="0.2">
      <c r="A306" s="2">
        <v>17</v>
      </c>
      <c r="B306" s="1" t="s">
        <v>116</v>
      </c>
      <c r="C306" s="4">
        <v>96</v>
      </c>
      <c r="D306" s="8">
        <v>1.83</v>
      </c>
      <c r="E306" s="4">
        <v>1</v>
      </c>
      <c r="F306" s="8">
        <v>0.04</v>
      </c>
      <c r="G306" s="4">
        <v>80</v>
      </c>
      <c r="H306" s="8">
        <v>2.71</v>
      </c>
      <c r="I306" s="4">
        <v>1</v>
      </c>
    </row>
    <row r="307" spans="1:9" x14ac:dyDescent="0.2">
      <c r="A307" s="2">
        <v>18</v>
      </c>
      <c r="B307" s="1" t="s">
        <v>104</v>
      </c>
      <c r="C307" s="4">
        <v>94</v>
      </c>
      <c r="D307" s="8">
        <v>1.79</v>
      </c>
      <c r="E307" s="4">
        <v>53</v>
      </c>
      <c r="F307" s="8">
        <v>2.35</v>
      </c>
      <c r="G307" s="4">
        <v>41</v>
      </c>
      <c r="H307" s="8">
        <v>1.39</v>
      </c>
      <c r="I307" s="4">
        <v>0</v>
      </c>
    </row>
    <row r="308" spans="1:9" x14ac:dyDescent="0.2">
      <c r="A308" s="2">
        <v>19</v>
      </c>
      <c r="B308" s="1" t="s">
        <v>117</v>
      </c>
      <c r="C308" s="4">
        <v>76</v>
      </c>
      <c r="D308" s="8">
        <v>1.45</v>
      </c>
      <c r="E308" s="4">
        <v>10</v>
      </c>
      <c r="F308" s="8">
        <v>0.44</v>
      </c>
      <c r="G308" s="4">
        <v>65</v>
      </c>
      <c r="H308" s="8">
        <v>2.2000000000000002</v>
      </c>
      <c r="I308" s="4">
        <v>1</v>
      </c>
    </row>
    <row r="309" spans="1:9" x14ac:dyDescent="0.2">
      <c r="A309" s="2">
        <v>20</v>
      </c>
      <c r="B309" s="1" t="s">
        <v>118</v>
      </c>
      <c r="C309" s="4">
        <v>68</v>
      </c>
      <c r="D309" s="8">
        <v>1.29</v>
      </c>
      <c r="E309" s="4">
        <v>33</v>
      </c>
      <c r="F309" s="8">
        <v>1.46</v>
      </c>
      <c r="G309" s="4">
        <v>35</v>
      </c>
      <c r="H309" s="8">
        <v>1.18</v>
      </c>
      <c r="I309" s="4">
        <v>0</v>
      </c>
    </row>
    <row r="310" spans="1:9" x14ac:dyDescent="0.2">
      <c r="A310" s="1"/>
      <c r="C310" s="4"/>
      <c r="D310" s="8"/>
      <c r="E310" s="4"/>
      <c r="F310" s="8"/>
      <c r="G310" s="4"/>
      <c r="H310" s="8"/>
      <c r="I310" s="4"/>
    </row>
    <row r="311" spans="1:9" x14ac:dyDescent="0.2">
      <c r="A311" s="1" t="s">
        <v>14</v>
      </c>
      <c r="C311" s="4"/>
      <c r="D311" s="8"/>
      <c r="E311" s="4"/>
      <c r="F311" s="8"/>
      <c r="G311" s="4"/>
      <c r="H311" s="8"/>
      <c r="I311" s="4"/>
    </row>
    <row r="312" spans="1:9" x14ac:dyDescent="0.2">
      <c r="A312" s="2">
        <v>1</v>
      </c>
      <c r="B312" s="1" t="s">
        <v>113</v>
      </c>
      <c r="C312" s="4">
        <v>302</v>
      </c>
      <c r="D312" s="8">
        <v>10.01</v>
      </c>
      <c r="E312" s="4">
        <v>220</v>
      </c>
      <c r="F312" s="8">
        <v>18.09</v>
      </c>
      <c r="G312" s="4">
        <v>82</v>
      </c>
      <c r="H312" s="8">
        <v>4.66</v>
      </c>
      <c r="I312" s="4">
        <v>0</v>
      </c>
    </row>
    <row r="313" spans="1:9" x14ac:dyDescent="0.2">
      <c r="A313" s="2">
        <v>2</v>
      </c>
      <c r="B313" s="1" t="s">
        <v>98</v>
      </c>
      <c r="C313" s="4">
        <v>231</v>
      </c>
      <c r="D313" s="8">
        <v>7.66</v>
      </c>
      <c r="E313" s="4">
        <v>25</v>
      </c>
      <c r="F313" s="8">
        <v>2.06</v>
      </c>
      <c r="G313" s="4">
        <v>206</v>
      </c>
      <c r="H313" s="8">
        <v>11.72</v>
      </c>
      <c r="I313" s="4">
        <v>0</v>
      </c>
    </row>
    <row r="314" spans="1:9" x14ac:dyDescent="0.2">
      <c r="A314" s="2">
        <v>3</v>
      </c>
      <c r="B314" s="1" t="s">
        <v>112</v>
      </c>
      <c r="C314" s="4">
        <v>227</v>
      </c>
      <c r="D314" s="8">
        <v>7.53</v>
      </c>
      <c r="E314" s="4">
        <v>185</v>
      </c>
      <c r="F314" s="8">
        <v>15.21</v>
      </c>
      <c r="G314" s="4">
        <v>42</v>
      </c>
      <c r="H314" s="8">
        <v>2.39</v>
      </c>
      <c r="I314" s="4">
        <v>0</v>
      </c>
    </row>
    <row r="315" spans="1:9" x14ac:dyDescent="0.2">
      <c r="A315" s="2">
        <v>4</v>
      </c>
      <c r="B315" s="1" t="s">
        <v>109</v>
      </c>
      <c r="C315" s="4">
        <v>218</v>
      </c>
      <c r="D315" s="8">
        <v>7.23</v>
      </c>
      <c r="E315" s="4">
        <v>50</v>
      </c>
      <c r="F315" s="8">
        <v>4.1100000000000003</v>
      </c>
      <c r="G315" s="4">
        <v>168</v>
      </c>
      <c r="H315" s="8">
        <v>9.56</v>
      </c>
      <c r="I315" s="4">
        <v>0</v>
      </c>
    </row>
    <row r="316" spans="1:9" x14ac:dyDescent="0.2">
      <c r="A316" s="2">
        <v>5</v>
      </c>
      <c r="B316" s="1" t="s">
        <v>99</v>
      </c>
      <c r="C316" s="4">
        <v>186</v>
      </c>
      <c r="D316" s="8">
        <v>6.17</v>
      </c>
      <c r="E316" s="4">
        <v>48</v>
      </c>
      <c r="F316" s="8">
        <v>3.95</v>
      </c>
      <c r="G316" s="4">
        <v>138</v>
      </c>
      <c r="H316" s="8">
        <v>7.85</v>
      </c>
      <c r="I316" s="4">
        <v>0</v>
      </c>
    </row>
    <row r="317" spans="1:9" x14ac:dyDescent="0.2">
      <c r="A317" s="2">
        <v>6</v>
      </c>
      <c r="B317" s="1" t="s">
        <v>107</v>
      </c>
      <c r="C317" s="4">
        <v>179</v>
      </c>
      <c r="D317" s="8">
        <v>5.94</v>
      </c>
      <c r="E317" s="4">
        <v>69</v>
      </c>
      <c r="F317" s="8">
        <v>5.67</v>
      </c>
      <c r="G317" s="4">
        <v>110</v>
      </c>
      <c r="H317" s="8">
        <v>6.26</v>
      </c>
      <c r="I317" s="4">
        <v>0</v>
      </c>
    </row>
    <row r="318" spans="1:9" x14ac:dyDescent="0.2">
      <c r="A318" s="2">
        <v>7</v>
      </c>
      <c r="B318" s="1" t="s">
        <v>114</v>
      </c>
      <c r="C318" s="4">
        <v>150</v>
      </c>
      <c r="D318" s="8">
        <v>4.97</v>
      </c>
      <c r="E318" s="4">
        <v>86</v>
      </c>
      <c r="F318" s="8">
        <v>7.07</v>
      </c>
      <c r="G318" s="4">
        <v>40</v>
      </c>
      <c r="H318" s="8">
        <v>2.2799999999999998</v>
      </c>
      <c r="I318" s="4">
        <v>0</v>
      </c>
    </row>
    <row r="319" spans="1:9" x14ac:dyDescent="0.2">
      <c r="A319" s="2">
        <v>8</v>
      </c>
      <c r="B319" s="1" t="s">
        <v>100</v>
      </c>
      <c r="C319" s="4">
        <v>142</v>
      </c>
      <c r="D319" s="8">
        <v>4.71</v>
      </c>
      <c r="E319" s="4">
        <v>25</v>
      </c>
      <c r="F319" s="8">
        <v>2.06</v>
      </c>
      <c r="G319" s="4">
        <v>117</v>
      </c>
      <c r="H319" s="8">
        <v>6.66</v>
      </c>
      <c r="I319" s="4">
        <v>0</v>
      </c>
    </row>
    <row r="320" spans="1:9" x14ac:dyDescent="0.2">
      <c r="A320" s="2">
        <v>9</v>
      </c>
      <c r="B320" s="1" t="s">
        <v>105</v>
      </c>
      <c r="C320" s="4">
        <v>134</v>
      </c>
      <c r="D320" s="8">
        <v>4.4400000000000004</v>
      </c>
      <c r="E320" s="4">
        <v>91</v>
      </c>
      <c r="F320" s="8">
        <v>7.48</v>
      </c>
      <c r="G320" s="4">
        <v>43</v>
      </c>
      <c r="H320" s="8">
        <v>2.4500000000000002</v>
      </c>
      <c r="I320" s="4">
        <v>0</v>
      </c>
    </row>
    <row r="321" spans="1:9" x14ac:dyDescent="0.2">
      <c r="A321" s="2">
        <v>10</v>
      </c>
      <c r="B321" s="1" t="s">
        <v>115</v>
      </c>
      <c r="C321" s="4">
        <v>127</v>
      </c>
      <c r="D321" s="8">
        <v>4.21</v>
      </c>
      <c r="E321" s="4">
        <v>106</v>
      </c>
      <c r="F321" s="8">
        <v>8.7200000000000006</v>
      </c>
      <c r="G321" s="4">
        <v>21</v>
      </c>
      <c r="H321" s="8">
        <v>1.19</v>
      </c>
      <c r="I321" s="4">
        <v>0</v>
      </c>
    </row>
    <row r="322" spans="1:9" x14ac:dyDescent="0.2">
      <c r="A322" s="2">
        <v>11</v>
      </c>
      <c r="B322" s="1" t="s">
        <v>104</v>
      </c>
      <c r="C322" s="4">
        <v>102</v>
      </c>
      <c r="D322" s="8">
        <v>3.38</v>
      </c>
      <c r="E322" s="4">
        <v>28</v>
      </c>
      <c r="F322" s="8">
        <v>2.2999999999999998</v>
      </c>
      <c r="G322" s="4">
        <v>74</v>
      </c>
      <c r="H322" s="8">
        <v>4.21</v>
      </c>
      <c r="I322" s="4">
        <v>0</v>
      </c>
    </row>
    <row r="323" spans="1:9" x14ac:dyDescent="0.2">
      <c r="A323" s="2">
        <v>12</v>
      </c>
      <c r="B323" s="1" t="s">
        <v>110</v>
      </c>
      <c r="C323" s="4">
        <v>94</v>
      </c>
      <c r="D323" s="8">
        <v>3.12</v>
      </c>
      <c r="E323" s="4">
        <v>39</v>
      </c>
      <c r="F323" s="8">
        <v>3.21</v>
      </c>
      <c r="G323" s="4">
        <v>55</v>
      </c>
      <c r="H323" s="8">
        <v>3.13</v>
      </c>
      <c r="I323" s="4">
        <v>0</v>
      </c>
    </row>
    <row r="324" spans="1:9" x14ac:dyDescent="0.2">
      <c r="A324" s="2">
        <v>13</v>
      </c>
      <c r="B324" s="1" t="s">
        <v>106</v>
      </c>
      <c r="C324" s="4">
        <v>82</v>
      </c>
      <c r="D324" s="8">
        <v>2.72</v>
      </c>
      <c r="E324" s="4">
        <v>51</v>
      </c>
      <c r="F324" s="8">
        <v>4.1900000000000004</v>
      </c>
      <c r="G324" s="4">
        <v>31</v>
      </c>
      <c r="H324" s="8">
        <v>1.76</v>
      </c>
      <c r="I324" s="4">
        <v>0</v>
      </c>
    </row>
    <row r="325" spans="1:9" x14ac:dyDescent="0.2">
      <c r="A325" s="2">
        <v>14</v>
      </c>
      <c r="B325" s="1" t="s">
        <v>111</v>
      </c>
      <c r="C325" s="4">
        <v>72</v>
      </c>
      <c r="D325" s="8">
        <v>2.39</v>
      </c>
      <c r="E325" s="4">
        <v>20</v>
      </c>
      <c r="F325" s="8">
        <v>1.64</v>
      </c>
      <c r="G325" s="4">
        <v>52</v>
      </c>
      <c r="H325" s="8">
        <v>2.96</v>
      </c>
      <c r="I325" s="4">
        <v>0</v>
      </c>
    </row>
    <row r="326" spans="1:9" x14ac:dyDescent="0.2">
      <c r="A326" s="2">
        <v>14</v>
      </c>
      <c r="B326" s="1" t="s">
        <v>116</v>
      </c>
      <c r="C326" s="4">
        <v>72</v>
      </c>
      <c r="D326" s="8">
        <v>2.39</v>
      </c>
      <c r="E326" s="4">
        <v>0</v>
      </c>
      <c r="F326" s="8">
        <v>0</v>
      </c>
      <c r="G326" s="4">
        <v>59</v>
      </c>
      <c r="H326" s="8">
        <v>3.36</v>
      </c>
      <c r="I326" s="4">
        <v>0</v>
      </c>
    </row>
    <row r="327" spans="1:9" x14ac:dyDescent="0.2">
      <c r="A327" s="2">
        <v>16</v>
      </c>
      <c r="B327" s="1" t="s">
        <v>108</v>
      </c>
      <c r="C327" s="4">
        <v>62</v>
      </c>
      <c r="D327" s="8">
        <v>2.06</v>
      </c>
      <c r="E327" s="4">
        <v>12</v>
      </c>
      <c r="F327" s="8">
        <v>0.99</v>
      </c>
      <c r="G327" s="4">
        <v>50</v>
      </c>
      <c r="H327" s="8">
        <v>2.84</v>
      </c>
      <c r="I327" s="4">
        <v>0</v>
      </c>
    </row>
    <row r="328" spans="1:9" x14ac:dyDescent="0.2">
      <c r="A328" s="2">
        <v>17</v>
      </c>
      <c r="B328" s="1" t="s">
        <v>118</v>
      </c>
      <c r="C328" s="4">
        <v>54</v>
      </c>
      <c r="D328" s="8">
        <v>1.79</v>
      </c>
      <c r="E328" s="4">
        <v>13</v>
      </c>
      <c r="F328" s="8">
        <v>1.07</v>
      </c>
      <c r="G328" s="4">
        <v>41</v>
      </c>
      <c r="H328" s="8">
        <v>2.33</v>
      </c>
      <c r="I328" s="4">
        <v>0</v>
      </c>
    </row>
    <row r="329" spans="1:9" x14ac:dyDescent="0.2">
      <c r="A329" s="2">
        <v>18</v>
      </c>
      <c r="B329" s="1" t="s">
        <v>103</v>
      </c>
      <c r="C329" s="4">
        <v>48</v>
      </c>
      <c r="D329" s="8">
        <v>1.59</v>
      </c>
      <c r="E329" s="4">
        <v>7</v>
      </c>
      <c r="F329" s="8">
        <v>0.57999999999999996</v>
      </c>
      <c r="G329" s="4">
        <v>41</v>
      </c>
      <c r="H329" s="8">
        <v>2.33</v>
      </c>
      <c r="I329" s="4">
        <v>0</v>
      </c>
    </row>
    <row r="330" spans="1:9" x14ac:dyDescent="0.2">
      <c r="A330" s="2">
        <v>19</v>
      </c>
      <c r="B330" s="1" t="s">
        <v>126</v>
      </c>
      <c r="C330" s="4">
        <v>47</v>
      </c>
      <c r="D330" s="8">
        <v>1.56</v>
      </c>
      <c r="E330" s="4">
        <v>7</v>
      </c>
      <c r="F330" s="8">
        <v>0.57999999999999996</v>
      </c>
      <c r="G330" s="4">
        <v>40</v>
      </c>
      <c r="H330" s="8">
        <v>2.2799999999999998</v>
      </c>
      <c r="I330" s="4">
        <v>0</v>
      </c>
    </row>
    <row r="331" spans="1:9" x14ac:dyDescent="0.2">
      <c r="A331" s="2">
        <v>20</v>
      </c>
      <c r="B331" s="1" t="s">
        <v>102</v>
      </c>
      <c r="C331" s="4">
        <v>40</v>
      </c>
      <c r="D331" s="8">
        <v>1.33</v>
      </c>
      <c r="E331" s="4">
        <v>6</v>
      </c>
      <c r="F331" s="8">
        <v>0.49</v>
      </c>
      <c r="G331" s="4">
        <v>34</v>
      </c>
      <c r="H331" s="8">
        <v>1.93</v>
      </c>
      <c r="I331" s="4">
        <v>0</v>
      </c>
    </row>
    <row r="332" spans="1:9" x14ac:dyDescent="0.2">
      <c r="A332" s="1"/>
      <c r="C332" s="4"/>
      <c r="D332" s="8"/>
      <c r="E332" s="4"/>
      <c r="F332" s="8"/>
      <c r="G332" s="4"/>
      <c r="H332" s="8"/>
      <c r="I332" s="4"/>
    </row>
    <row r="333" spans="1:9" x14ac:dyDescent="0.2">
      <c r="A333" s="1" t="s">
        <v>15</v>
      </c>
      <c r="C333" s="4"/>
      <c r="D333" s="8"/>
      <c r="E333" s="4"/>
      <c r="F333" s="8"/>
      <c r="G333" s="4"/>
      <c r="H333" s="8"/>
      <c r="I333" s="4"/>
    </row>
    <row r="334" spans="1:9" x14ac:dyDescent="0.2">
      <c r="A334" s="2">
        <v>1</v>
      </c>
      <c r="B334" s="1" t="s">
        <v>113</v>
      </c>
      <c r="C334" s="4">
        <v>277</v>
      </c>
      <c r="D334" s="8">
        <v>13.56</v>
      </c>
      <c r="E334" s="4">
        <v>231</v>
      </c>
      <c r="F334" s="8">
        <v>23.43</v>
      </c>
      <c r="G334" s="4">
        <v>46</v>
      </c>
      <c r="H334" s="8">
        <v>4.43</v>
      </c>
      <c r="I334" s="4">
        <v>0</v>
      </c>
    </row>
    <row r="335" spans="1:9" x14ac:dyDescent="0.2">
      <c r="A335" s="2">
        <v>2</v>
      </c>
      <c r="B335" s="1" t="s">
        <v>109</v>
      </c>
      <c r="C335" s="4">
        <v>236</v>
      </c>
      <c r="D335" s="8">
        <v>11.55</v>
      </c>
      <c r="E335" s="4">
        <v>87</v>
      </c>
      <c r="F335" s="8">
        <v>8.82</v>
      </c>
      <c r="G335" s="4">
        <v>149</v>
      </c>
      <c r="H335" s="8">
        <v>14.34</v>
      </c>
      <c r="I335" s="4">
        <v>0</v>
      </c>
    </row>
    <row r="336" spans="1:9" x14ac:dyDescent="0.2">
      <c r="A336" s="2">
        <v>3</v>
      </c>
      <c r="B336" s="1" t="s">
        <v>112</v>
      </c>
      <c r="C336" s="4">
        <v>199</v>
      </c>
      <c r="D336" s="8">
        <v>9.74</v>
      </c>
      <c r="E336" s="4">
        <v>178</v>
      </c>
      <c r="F336" s="8">
        <v>18.05</v>
      </c>
      <c r="G336" s="4">
        <v>21</v>
      </c>
      <c r="H336" s="8">
        <v>2.02</v>
      </c>
      <c r="I336" s="4">
        <v>0</v>
      </c>
    </row>
    <row r="337" spans="1:9" x14ac:dyDescent="0.2">
      <c r="A337" s="2">
        <v>4</v>
      </c>
      <c r="B337" s="1" t="s">
        <v>98</v>
      </c>
      <c r="C337" s="4">
        <v>113</v>
      </c>
      <c r="D337" s="8">
        <v>5.53</v>
      </c>
      <c r="E337" s="4">
        <v>14</v>
      </c>
      <c r="F337" s="8">
        <v>1.42</v>
      </c>
      <c r="G337" s="4">
        <v>99</v>
      </c>
      <c r="H337" s="8">
        <v>9.5299999999999994</v>
      </c>
      <c r="I337" s="4">
        <v>0</v>
      </c>
    </row>
    <row r="338" spans="1:9" x14ac:dyDescent="0.2">
      <c r="A338" s="2">
        <v>5</v>
      </c>
      <c r="B338" s="1" t="s">
        <v>107</v>
      </c>
      <c r="C338" s="4">
        <v>107</v>
      </c>
      <c r="D338" s="8">
        <v>5.24</v>
      </c>
      <c r="E338" s="4">
        <v>50</v>
      </c>
      <c r="F338" s="8">
        <v>5.07</v>
      </c>
      <c r="G338" s="4">
        <v>57</v>
      </c>
      <c r="H338" s="8">
        <v>5.49</v>
      </c>
      <c r="I338" s="4">
        <v>0</v>
      </c>
    </row>
    <row r="339" spans="1:9" x14ac:dyDescent="0.2">
      <c r="A339" s="2">
        <v>6</v>
      </c>
      <c r="B339" s="1" t="s">
        <v>99</v>
      </c>
      <c r="C339" s="4">
        <v>94</v>
      </c>
      <c r="D339" s="8">
        <v>4.5999999999999996</v>
      </c>
      <c r="E339" s="4">
        <v>14</v>
      </c>
      <c r="F339" s="8">
        <v>1.42</v>
      </c>
      <c r="G339" s="4">
        <v>80</v>
      </c>
      <c r="H339" s="8">
        <v>7.7</v>
      </c>
      <c r="I339" s="4">
        <v>0</v>
      </c>
    </row>
    <row r="340" spans="1:9" x14ac:dyDescent="0.2">
      <c r="A340" s="2">
        <v>6</v>
      </c>
      <c r="B340" s="1" t="s">
        <v>105</v>
      </c>
      <c r="C340" s="4">
        <v>94</v>
      </c>
      <c r="D340" s="8">
        <v>4.5999999999999996</v>
      </c>
      <c r="E340" s="4">
        <v>66</v>
      </c>
      <c r="F340" s="8">
        <v>6.69</v>
      </c>
      <c r="G340" s="4">
        <v>28</v>
      </c>
      <c r="H340" s="8">
        <v>2.69</v>
      </c>
      <c r="I340" s="4">
        <v>0</v>
      </c>
    </row>
    <row r="341" spans="1:9" x14ac:dyDescent="0.2">
      <c r="A341" s="2">
        <v>8</v>
      </c>
      <c r="B341" s="1" t="s">
        <v>114</v>
      </c>
      <c r="C341" s="4">
        <v>85</v>
      </c>
      <c r="D341" s="8">
        <v>4.16</v>
      </c>
      <c r="E341" s="4">
        <v>49</v>
      </c>
      <c r="F341" s="8">
        <v>4.97</v>
      </c>
      <c r="G341" s="4">
        <v>24</v>
      </c>
      <c r="H341" s="8">
        <v>2.31</v>
      </c>
      <c r="I341" s="4">
        <v>1</v>
      </c>
    </row>
    <row r="342" spans="1:9" x14ac:dyDescent="0.2">
      <c r="A342" s="2">
        <v>9</v>
      </c>
      <c r="B342" s="1" t="s">
        <v>115</v>
      </c>
      <c r="C342" s="4">
        <v>83</v>
      </c>
      <c r="D342" s="8">
        <v>4.0599999999999996</v>
      </c>
      <c r="E342" s="4">
        <v>73</v>
      </c>
      <c r="F342" s="8">
        <v>7.4</v>
      </c>
      <c r="G342" s="4">
        <v>10</v>
      </c>
      <c r="H342" s="8">
        <v>0.96</v>
      </c>
      <c r="I342" s="4">
        <v>0</v>
      </c>
    </row>
    <row r="343" spans="1:9" x14ac:dyDescent="0.2">
      <c r="A343" s="2">
        <v>10</v>
      </c>
      <c r="B343" s="1" t="s">
        <v>106</v>
      </c>
      <c r="C343" s="4">
        <v>71</v>
      </c>
      <c r="D343" s="8">
        <v>3.48</v>
      </c>
      <c r="E343" s="4">
        <v>45</v>
      </c>
      <c r="F343" s="8">
        <v>4.5599999999999996</v>
      </c>
      <c r="G343" s="4">
        <v>26</v>
      </c>
      <c r="H343" s="8">
        <v>2.5</v>
      </c>
      <c r="I343" s="4">
        <v>0</v>
      </c>
    </row>
    <row r="344" spans="1:9" x14ac:dyDescent="0.2">
      <c r="A344" s="2">
        <v>11</v>
      </c>
      <c r="B344" s="1" t="s">
        <v>100</v>
      </c>
      <c r="C344" s="4">
        <v>69</v>
      </c>
      <c r="D344" s="8">
        <v>3.38</v>
      </c>
      <c r="E344" s="4">
        <v>12</v>
      </c>
      <c r="F344" s="8">
        <v>1.22</v>
      </c>
      <c r="G344" s="4">
        <v>57</v>
      </c>
      <c r="H344" s="8">
        <v>5.49</v>
      </c>
      <c r="I344" s="4">
        <v>0</v>
      </c>
    </row>
    <row r="345" spans="1:9" x14ac:dyDescent="0.2">
      <c r="A345" s="2">
        <v>12</v>
      </c>
      <c r="B345" s="1" t="s">
        <v>108</v>
      </c>
      <c r="C345" s="4">
        <v>59</v>
      </c>
      <c r="D345" s="8">
        <v>2.89</v>
      </c>
      <c r="E345" s="4">
        <v>8</v>
      </c>
      <c r="F345" s="8">
        <v>0.81</v>
      </c>
      <c r="G345" s="4">
        <v>51</v>
      </c>
      <c r="H345" s="8">
        <v>4.91</v>
      </c>
      <c r="I345" s="4">
        <v>0</v>
      </c>
    </row>
    <row r="346" spans="1:9" x14ac:dyDescent="0.2">
      <c r="A346" s="2">
        <v>12</v>
      </c>
      <c r="B346" s="1" t="s">
        <v>111</v>
      </c>
      <c r="C346" s="4">
        <v>59</v>
      </c>
      <c r="D346" s="8">
        <v>2.89</v>
      </c>
      <c r="E346" s="4">
        <v>22</v>
      </c>
      <c r="F346" s="8">
        <v>2.23</v>
      </c>
      <c r="G346" s="4">
        <v>37</v>
      </c>
      <c r="H346" s="8">
        <v>3.56</v>
      </c>
      <c r="I346" s="4">
        <v>0</v>
      </c>
    </row>
    <row r="347" spans="1:9" x14ac:dyDescent="0.2">
      <c r="A347" s="2">
        <v>14</v>
      </c>
      <c r="B347" s="1" t="s">
        <v>110</v>
      </c>
      <c r="C347" s="4">
        <v>54</v>
      </c>
      <c r="D347" s="8">
        <v>2.64</v>
      </c>
      <c r="E347" s="4">
        <v>20</v>
      </c>
      <c r="F347" s="8">
        <v>2.0299999999999998</v>
      </c>
      <c r="G347" s="4">
        <v>34</v>
      </c>
      <c r="H347" s="8">
        <v>3.27</v>
      </c>
      <c r="I347" s="4">
        <v>0</v>
      </c>
    </row>
    <row r="348" spans="1:9" x14ac:dyDescent="0.2">
      <c r="A348" s="2">
        <v>15</v>
      </c>
      <c r="B348" s="1" t="s">
        <v>116</v>
      </c>
      <c r="C348" s="4">
        <v>53</v>
      </c>
      <c r="D348" s="8">
        <v>2.59</v>
      </c>
      <c r="E348" s="4">
        <v>0</v>
      </c>
      <c r="F348" s="8">
        <v>0</v>
      </c>
      <c r="G348" s="4">
        <v>48</v>
      </c>
      <c r="H348" s="8">
        <v>4.62</v>
      </c>
      <c r="I348" s="4">
        <v>0</v>
      </c>
    </row>
    <row r="349" spans="1:9" x14ac:dyDescent="0.2">
      <c r="A349" s="2">
        <v>16</v>
      </c>
      <c r="B349" s="1" t="s">
        <v>117</v>
      </c>
      <c r="C349" s="4">
        <v>32</v>
      </c>
      <c r="D349" s="8">
        <v>1.57</v>
      </c>
      <c r="E349" s="4">
        <v>2</v>
      </c>
      <c r="F349" s="8">
        <v>0.2</v>
      </c>
      <c r="G349" s="4">
        <v>30</v>
      </c>
      <c r="H349" s="8">
        <v>2.89</v>
      </c>
      <c r="I349" s="4">
        <v>0</v>
      </c>
    </row>
    <row r="350" spans="1:9" x14ac:dyDescent="0.2">
      <c r="A350" s="2">
        <v>17</v>
      </c>
      <c r="B350" s="1" t="s">
        <v>103</v>
      </c>
      <c r="C350" s="4">
        <v>31</v>
      </c>
      <c r="D350" s="8">
        <v>1.52</v>
      </c>
      <c r="E350" s="4">
        <v>2</v>
      </c>
      <c r="F350" s="8">
        <v>0.2</v>
      </c>
      <c r="G350" s="4">
        <v>29</v>
      </c>
      <c r="H350" s="8">
        <v>2.79</v>
      </c>
      <c r="I350" s="4">
        <v>0</v>
      </c>
    </row>
    <row r="351" spans="1:9" x14ac:dyDescent="0.2">
      <c r="A351" s="2">
        <v>18</v>
      </c>
      <c r="B351" s="1" t="s">
        <v>104</v>
      </c>
      <c r="C351" s="4">
        <v>26</v>
      </c>
      <c r="D351" s="8">
        <v>1.27</v>
      </c>
      <c r="E351" s="4">
        <v>17</v>
      </c>
      <c r="F351" s="8">
        <v>1.72</v>
      </c>
      <c r="G351" s="4">
        <v>9</v>
      </c>
      <c r="H351" s="8">
        <v>0.87</v>
      </c>
      <c r="I351" s="4">
        <v>0</v>
      </c>
    </row>
    <row r="352" spans="1:9" x14ac:dyDescent="0.2">
      <c r="A352" s="2">
        <v>18</v>
      </c>
      <c r="B352" s="1" t="s">
        <v>118</v>
      </c>
      <c r="C352" s="4">
        <v>26</v>
      </c>
      <c r="D352" s="8">
        <v>1.27</v>
      </c>
      <c r="E352" s="4">
        <v>11</v>
      </c>
      <c r="F352" s="8">
        <v>1.1200000000000001</v>
      </c>
      <c r="G352" s="4">
        <v>15</v>
      </c>
      <c r="H352" s="8">
        <v>1.44</v>
      </c>
      <c r="I352" s="4">
        <v>0</v>
      </c>
    </row>
    <row r="353" spans="1:9" x14ac:dyDescent="0.2">
      <c r="A353" s="2">
        <v>20</v>
      </c>
      <c r="B353" s="1" t="s">
        <v>127</v>
      </c>
      <c r="C353" s="4">
        <v>24</v>
      </c>
      <c r="D353" s="8">
        <v>1.17</v>
      </c>
      <c r="E353" s="4">
        <v>9</v>
      </c>
      <c r="F353" s="8">
        <v>0.91</v>
      </c>
      <c r="G353" s="4">
        <v>15</v>
      </c>
      <c r="H353" s="8">
        <v>1.44</v>
      </c>
      <c r="I353" s="4">
        <v>0</v>
      </c>
    </row>
    <row r="354" spans="1:9" x14ac:dyDescent="0.2">
      <c r="A354" s="1"/>
      <c r="C354" s="4"/>
      <c r="D354" s="8"/>
      <c r="E354" s="4"/>
      <c r="F354" s="8"/>
      <c r="G354" s="4"/>
      <c r="H354" s="8"/>
      <c r="I354" s="4"/>
    </row>
    <row r="355" spans="1:9" x14ac:dyDescent="0.2">
      <c r="A355" s="1" t="s">
        <v>16</v>
      </c>
      <c r="C355" s="4"/>
      <c r="D355" s="8"/>
      <c r="E355" s="4"/>
      <c r="F355" s="8"/>
      <c r="G355" s="4"/>
      <c r="H355" s="8"/>
      <c r="I355" s="4"/>
    </row>
    <row r="356" spans="1:9" x14ac:dyDescent="0.2">
      <c r="A356" s="2">
        <v>1</v>
      </c>
      <c r="B356" s="1" t="s">
        <v>112</v>
      </c>
      <c r="C356" s="4">
        <v>465</v>
      </c>
      <c r="D356" s="8">
        <v>11.53</v>
      </c>
      <c r="E356" s="4">
        <v>422</v>
      </c>
      <c r="F356" s="8">
        <v>21.49</v>
      </c>
      <c r="G356" s="4">
        <v>43</v>
      </c>
      <c r="H356" s="8">
        <v>2.12</v>
      </c>
      <c r="I356" s="4">
        <v>0</v>
      </c>
    </row>
    <row r="357" spans="1:9" x14ac:dyDescent="0.2">
      <c r="A357" s="2">
        <v>2</v>
      </c>
      <c r="B357" s="1" t="s">
        <v>113</v>
      </c>
      <c r="C357" s="4">
        <v>456</v>
      </c>
      <c r="D357" s="8">
        <v>11.3</v>
      </c>
      <c r="E357" s="4">
        <v>371</v>
      </c>
      <c r="F357" s="8">
        <v>18.89</v>
      </c>
      <c r="G357" s="4">
        <v>85</v>
      </c>
      <c r="H357" s="8">
        <v>4.1900000000000004</v>
      </c>
      <c r="I357" s="4">
        <v>0</v>
      </c>
    </row>
    <row r="358" spans="1:9" x14ac:dyDescent="0.2">
      <c r="A358" s="2">
        <v>3</v>
      </c>
      <c r="B358" s="1" t="s">
        <v>109</v>
      </c>
      <c r="C358" s="4">
        <v>326</v>
      </c>
      <c r="D358" s="8">
        <v>8.08</v>
      </c>
      <c r="E358" s="4">
        <v>56</v>
      </c>
      <c r="F358" s="8">
        <v>2.85</v>
      </c>
      <c r="G358" s="4">
        <v>270</v>
      </c>
      <c r="H358" s="8">
        <v>13.3</v>
      </c>
      <c r="I358" s="4">
        <v>0</v>
      </c>
    </row>
    <row r="359" spans="1:9" x14ac:dyDescent="0.2">
      <c r="A359" s="2">
        <v>4</v>
      </c>
      <c r="B359" s="1" t="s">
        <v>107</v>
      </c>
      <c r="C359" s="4">
        <v>236</v>
      </c>
      <c r="D359" s="8">
        <v>5.85</v>
      </c>
      <c r="E359" s="4">
        <v>109</v>
      </c>
      <c r="F359" s="8">
        <v>5.55</v>
      </c>
      <c r="G359" s="4">
        <v>127</v>
      </c>
      <c r="H359" s="8">
        <v>6.26</v>
      </c>
      <c r="I359" s="4">
        <v>0</v>
      </c>
    </row>
    <row r="360" spans="1:9" x14ac:dyDescent="0.2">
      <c r="A360" s="2">
        <v>5</v>
      </c>
      <c r="B360" s="1" t="s">
        <v>98</v>
      </c>
      <c r="C360" s="4">
        <v>229</v>
      </c>
      <c r="D360" s="8">
        <v>5.68</v>
      </c>
      <c r="E360" s="4">
        <v>47</v>
      </c>
      <c r="F360" s="8">
        <v>2.39</v>
      </c>
      <c r="G360" s="4">
        <v>182</v>
      </c>
      <c r="H360" s="8">
        <v>8.9700000000000006</v>
      </c>
      <c r="I360" s="4">
        <v>0</v>
      </c>
    </row>
    <row r="361" spans="1:9" x14ac:dyDescent="0.2">
      <c r="A361" s="2">
        <v>6</v>
      </c>
      <c r="B361" s="1" t="s">
        <v>99</v>
      </c>
      <c r="C361" s="4">
        <v>206</v>
      </c>
      <c r="D361" s="8">
        <v>5.1100000000000003</v>
      </c>
      <c r="E361" s="4">
        <v>68</v>
      </c>
      <c r="F361" s="8">
        <v>3.46</v>
      </c>
      <c r="G361" s="4">
        <v>138</v>
      </c>
      <c r="H361" s="8">
        <v>6.8</v>
      </c>
      <c r="I361" s="4">
        <v>0</v>
      </c>
    </row>
    <row r="362" spans="1:9" x14ac:dyDescent="0.2">
      <c r="A362" s="2">
        <v>7</v>
      </c>
      <c r="B362" s="1" t="s">
        <v>114</v>
      </c>
      <c r="C362" s="4">
        <v>185</v>
      </c>
      <c r="D362" s="8">
        <v>4.59</v>
      </c>
      <c r="E362" s="4">
        <v>113</v>
      </c>
      <c r="F362" s="8">
        <v>5.75</v>
      </c>
      <c r="G362" s="4">
        <v>48</v>
      </c>
      <c r="H362" s="8">
        <v>2.36</v>
      </c>
      <c r="I362" s="4">
        <v>0</v>
      </c>
    </row>
    <row r="363" spans="1:9" x14ac:dyDescent="0.2">
      <c r="A363" s="2">
        <v>8</v>
      </c>
      <c r="B363" s="1" t="s">
        <v>115</v>
      </c>
      <c r="C363" s="4">
        <v>183</v>
      </c>
      <c r="D363" s="8">
        <v>4.54</v>
      </c>
      <c r="E363" s="4">
        <v>160</v>
      </c>
      <c r="F363" s="8">
        <v>8.15</v>
      </c>
      <c r="G363" s="4">
        <v>23</v>
      </c>
      <c r="H363" s="8">
        <v>1.1299999999999999</v>
      </c>
      <c r="I363" s="4">
        <v>0</v>
      </c>
    </row>
    <row r="364" spans="1:9" x14ac:dyDescent="0.2">
      <c r="A364" s="2">
        <v>9</v>
      </c>
      <c r="B364" s="1" t="s">
        <v>110</v>
      </c>
      <c r="C364" s="4">
        <v>174</v>
      </c>
      <c r="D364" s="8">
        <v>4.3099999999999996</v>
      </c>
      <c r="E364" s="4">
        <v>80</v>
      </c>
      <c r="F364" s="8">
        <v>4.07</v>
      </c>
      <c r="G364" s="4">
        <v>93</v>
      </c>
      <c r="H364" s="8">
        <v>4.58</v>
      </c>
      <c r="I364" s="4">
        <v>1</v>
      </c>
    </row>
    <row r="365" spans="1:9" x14ac:dyDescent="0.2">
      <c r="A365" s="2">
        <v>10</v>
      </c>
      <c r="B365" s="1" t="s">
        <v>100</v>
      </c>
      <c r="C365" s="4">
        <v>161</v>
      </c>
      <c r="D365" s="8">
        <v>3.99</v>
      </c>
      <c r="E365" s="4">
        <v>43</v>
      </c>
      <c r="F365" s="8">
        <v>2.19</v>
      </c>
      <c r="G365" s="4">
        <v>117</v>
      </c>
      <c r="H365" s="8">
        <v>5.76</v>
      </c>
      <c r="I365" s="4">
        <v>1</v>
      </c>
    </row>
    <row r="366" spans="1:9" x14ac:dyDescent="0.2">
      <c r="A366" s="2">
        <v>11</v>
      </c>
      <c r="B366" s="1" t="s">
        <v>105</v>
      </c>
      <c r="C366" s="4">
        <v>157</v>
      </c>
      <c r="D366" s="8">
        <v>3.89</v>
      </c>
      <c r="E366" s="4">
        <v>124</v>
      </c>
      <c r="F366" s="8">
        <v>6.31</v>
      </c>
      <c r="G366" s="4">
        <v>33</v>
      </c>
      <c r="H366" s="8">
        <v>1.63</v>
      </c>
      <c r="I366" s="4">
        <v>0</v>
      </c>
    </row>
    <row r="367" spans="1:9" x14ac:dyDescent="0.2">
      <c r="A367" s="2">
        <v>12</v>
      </c>
      <c r="B367" s="1" t="s">
        <v>106</v>
      </c>
      <c r="C367" s="4">
        <v>129</v>
      </c>
      <c r="D367" s="8">
        <v>3.2</v>
      </c>
      <c r="E367" s="4">
        <v>78</v>
      </c>
      <c r="F367" s="8">
        <v>3.97</v>
      </c>
      <c r="G367" s="4">
        <v>51</v>
      </c>
      <c r="H367" s="8">
        <v>2.5099999999999998</v>
      </c>
      <c r="I367" s="4">
        <v>0</v>
      </c>
    </row>
    <row r="368" spans="1:9" x14ac:dyDescent="0.2">
      <c r="A368" s="2">
        <v>13</v>
      </c>
      <c r="B368" s="1" t="s">
        <v>108</v>
      </c>
      <c r="C368" s="4">
        <v>125</v>
      </c>
      <c r="D368" s="8">
        <v>3.1</v>
      </c>
      <c r="E368" s="4">
        <v>26</v>
      </c>
      <c r="F368" s="8">
        <v>1.32</v>
      </c>
      <c r="G368" s="4">
        <v>99</v>
      </c>
      <c r="H368" s="8">
        <v>4.88</v>
      </c>
      <c r="I368" s="4">
        <v>0</v>
      </c>
    </row>
    <row r="369" spans="1:9" x14ac:dyDescent="0.2">
      <c r="A369" s="2">
        <v>14</v>
      </c>
      <c r="B369" s="1" t="s">
        <v>111</v>
      </c>
      <c r="C369" s="4">
        <v>92</v>
      </c>
      <c r="D369" s="8">
        <v>2.2799999999999998</v>
      </c>
      <c r="E369" s="4">
        <v>34</v>
      </c>
      <c r="F369" s="8">
        <v>1.73</v>
      </c>
      <c r="G369" s="4">
        <v>58</v>
      </c>
      <c r="H369" s="8">
        <v>2.86</v>
      </c>
      <c r="I369" s="4">
        <v>0</v>
      </c>
    </row>
    <row r="370" spans="1:9" x14ac:dyDescent="0.2">
      <c r="A370" s="2">
        <v>15</v>
      </c>
      <c r="B370" s="1" t="s">
        <v>116</v>
      </c>
      <c r="C370" s="4">
        <v>76</v>
      </c>
      <c r="D370" s="8">
        <v>1.88</v>
      </c>
      <c r="E370" s="4">
        <v>2</v>
      </c>
      <c r="F370" s="8">
        <v>0.1</v>
      </c>
      <c r="G370" s="4">
        <v>60</v>
      </c>
      <c r="H370" s="8">
        <v>2.96</v>
      </c>
      <c r="I370" s="4">
        <v>0</v>
      </c>
    </row>
    <row r="371" spans="1:9" x14ac:dyDescent="0.2">
      <c r="A371" s="2">
        <v>16</v>
      </c>
      <c r="B371" s="1" t="s">
        <v>104</v>
      </c>
      <c r="C371" s="4">
        <v>72</v>
      </c>
      <c r="D371" s="8">
        <v>1.78</v>
      </c>
      <c r="E371" s="4">
        <v>40</v>
      </c>
      <c r="F371" s="8">
        <v>2.04</v>
      </c>
      <c r="G371" s="4">
        <v>32</v>
      </c>
      <c r="H371" s="8">
        <v>1.58</v>
      </c>
      <c r="I371" s="4">
        <v>0</v>
      </c>
    </row>
    <row r="372" spans="1:9" x14ac:dyDescent="0.2">
      <c r="A372" s="2">
        <v>17</v>
      </c>
      <c r="B372" s="1" t="s">
        <v>117</v>
      </c>
      <c r="C372" s="4">
        <v>63</v>
      </c>
      <c r="D372" s="8">
        <v>1.56</v>
      </c>
      <c r="E372" s="4">
        <v>3</v>
      </c>
      <c r="F372" s="8">
        <v>0.15</v>
      </c>
      <c r="G372" s="4">
        <v>60</v>
      </c>
      <c r="H372" s="8">
        <v>2.96</v>
      </c>
      <c r="I372" s="4">
        <v>0</v>
      </c>
    </row>
    <row r="373" spans="1:9" x14ac:dyDescent="0.2">
      <c r="A373" s="2">
        <v>18</v>
      </c>
      <c r="B373" s="1" t="s">
        <v>118</v>
      </c>
      <c r="C373" s="4">
        <v>58</v>
      </c>
      <c r="D373" s="8">
        <v>1.44</v>
      </c>
      <c r="E373" s="4">
        <v>28</v>
      </c>
      <c r="F373" s="8">
        <v>1.43</v>
      </c>
      <c r="G373" s="4">
        <v>30</v>
      </c>
      <c r="H373" s="8">
        <v>1.48</v>
      </c>
      <c r="I373" s="4">
        <v>0</v>
      </c>
    </row>
    <row r="374" spans="1:9" x14ac:dyDescent="0.2">
      <c r="A374" s="2">
        <v>19</v>
      </c>
      <c r="B374" s="1" t="s">
        <v>126</v>
      </c>
      <c r="C374" s="4">
        <v>57</v>
      </c>
      <c r="D374" s="8">
        <v>1.41</v>
      </c>
      <c r="E374" s="4">
        <v>5</v>
      </c>
      <c r="F374" s="8">
        <v>0.25</v>
      </c>
      <c r="G374" s="4">
        <v>52</v>
      </c>
      <c r="H374" s="8">
        <v>2.56</v>
      </c>
      <c r="I374" s="4">
        <v>0</v>
      </c>
    </row>
    <row r="375" spans="1:9" x14ac:dyDescent="0.2">
      <c r="A375" s="2">
        <v>20</v>
      </c>
      <c r="B375" s="1" t="s">
        <v>103</v>
      </c>
      <c r="C375" s="4">
        <v>56</v>
      </c>
      <c r="D375" s="8">
        <v>1.39</v>
      </c>
      <c r="E375" s="4">
        <v>8</v>
      </c>
      <c r="F375" s="8">
        <v>0.41</v>
      </c>
      <c r="G375" s="4">
        <v>48</v>
      </c>
      <c r="H375" s="8">
        <v>2.36</v>
      </c>
      <c r="I375" s="4">
        <v>0</v>
      </c>
    </row>
    <row r="376" spans="1:9" x14ac:dyDescent="0.2">
      <c r="A376" s="1"/>
      <c r="C376" s="4"/>
      <c r="D376" s="8"/>
      <c r="E376" s="4"/>
      <c r="F376" s="8"/>
      <c r="G376" s="4"/>
      <c r="H376" s="8"/>
      <c r="I376" s="4"/>
    </row>
    <row r="377" spans="1:9" x14ac:dyDescent="0.2">
      <c r="A377" s="1" t="s">
        <v>17</v>
      </c>
      <c r="C377" s="4"/>
      <c r="D377" s="8"/>
      <c r="E377" s="4"/>
      <c r="F377" s="8"/>
      <c r="G377" s="4"/>
      <c r="H377" s="8"/>
      <c r="I377" s="4"/>
    </row>
    <row r="378" spans="1:9" x14ac:dyDescent="0.2">
      <c r="A378" s="2">
        <v>1</v>
      </c>
      <c r="B378" s="1" t="s">
        <v>112</v>
      </c>
      <c r="C378" s="4">
        <v>388</v>
      </c>
      <c r="D378" s="8">
        <v>13.18</v>
      </c>
      <c r="E378" s="4">
        <v>365</v>
      </c>
      <c r="F378" s="8">
        <v>19.8</v>
      </c>
      <c r="G378" s="4">
        <v>23</v>
      </c>
      <c r="H378" s="8">
        <v>2.12</v>
      </c>
      <c r="I378" s="4">
        <v>0</v>
      </c>
    </row>
    <row r="379" spans="1:9" x14ac:dyDescent="0.2">
      <c r="A379" s="2">
        <v>2</v>
      </c>
      <c r="B379" s="1" t="s">
        <v>113</v>
      </c>
      <c r="C379" s="4">
        <v>350</v>
      </c>
      <c r="D379" s="8">
        <v>11.89</v>
      </c>
      <c r="E379" s="4">
        <v>324</v>
      </c>
      <c r="F379" s="8">
        <v>17.579999999999998</v>
      </c>
      <c r="G379" s="4">
        <v>26</v>
      </c>
      <c r="H379" s="8">
        <v>2.39</v>
      </c>
      <c r="I379" s="4">
        <v>0</v>
      </c>
    </row>
    <row r="380" spans="1:9" x14ac:dyDescent="0.2">
      <c r="A380" s="2">
        <v>3</v>
      </c>
      <c r="B380" s="1" t="s">
        <v>107</v>
      </c>
      <c r="C380" s="4">
        <v>263</v>
      </c>
      <c r="D380" s="8">
        <v>8.94</v>
      </c>
      <c r="E380" s="4">
        <v>158</v>
      </c>
      <c r="F380" s="8">
        <v>8.57</v>
      </c>
      <c r="G380" s="4">
        <v>104</v>
      </c>
      <c r="H380" s="8">
        <v>9.57</v>
      </c>
      <c r="I380" s="4">
        <v>1</v>
      </c>
    </row>
    <row r="381" spans="1:9" x14ac:dyDescent="0.2">
      <c r="A381" s="2">
        <v>4</v>
      </c>
      <c r="B381" s="1" t="s">
        <v>105</v>
      </c>
      <c r="C381" s="4">
        <v>195</v>
      </c>
      <c r="D381" s="8">
        <v>6.63</v>
      </c>
      <c r="E381" s="4">
        <v>139</v>
      </c>
      <c r="F381" s="8">
        <v>7.54</v>
      </c>
      <c r="G381" s="4">
        <v>56</v>
      </c>
      <c r="H381" s="8">
        <v>5.15</v>
      </c>
      <c r="I381" s="4">
        <v>0</v>
      </c>
    </row>
    <row r="382" spans="1:9" x14ac:dyDescent="0.2">
      <c r="A382" s="2">
        <v>5</v>
      </c>
      <c r="B382" s="1" t="s">
        <v>98</v>
      </c>
      <c r="C382" s="4">
        <v>184</v>
      </c>
      <c r="D382" s="8">
        <v>6.25</v>
      </c>
      <c r="E382" s="4">
        <v>62</v>
      </c>
      <c r="F382" s="8">
        <v>3.36</v>
      </c>
      <c r="G382" s="4">
        <v>122</v>
      </c>
      <c r="H382" s="8">
        <v>11.22</v>
      </c>
      <c r="I382" s="4">
        <v>0</v>
      </c>
    </row>
    <row r="383" spans="1:9" x14ac:dyDescent="0.2">
      <c r="A383" s="2">
        <v>6</v>
      </c>
      <c r="B383" s="1" t="s">
        <v>109</v>
      </c>
      <c r="C383" s="4">
        <v>153</v>
      </c>
      <c r="D383" s="8">
        <v>5.2</v>
      </c>
      <c r="E383" s="4">
        <v>83</v>
      </c>
      <c r="F383" s="8">
        <v>4.5</v>
      </c>
      <c r="G383" s="4">
        <v>70</v>
      </c>
      <c r="H383" s="8">
        <v>6.44</v>
      </c>
      <c r="I383" s="4">
        <v>0</v>
      </c>
    </row>
    <row r="384" spans="1:9" x14ac:dyDescent="0.2">
      <c r="A384" s="2">
        <v>7</v>
      </c>
      <c r="B384" s="1" t="s">
        <v>115</v>
      </c>
      <c r="C384" s="4">
        <v>116</v>
      </c>
      <c r="D384" s="8">
        <v>3.94</v>
      </c>
      <c r="E384" s="4">
        <v>108</v>
      </c>
      <c r="F384" s="8">
        <v>5.86</v>
      </c>
      <c r="G384" s="4">
        <v>8</v>
      </c>
      <c r="H384" s="8">
        <v>0.74</v>
      </c>
      <c r="I384" s="4">
        <v>0</v>
      </c>
    </row>
    <row r="385" spans="1:9" x14ac:dyDescent="0.2">
      <c r="A385" s="2">
        <v>8</v>
      </c>
      <c r="B385" s="1" t="s">
        <v>106</v>
      </c>
      <c r="C385" s="4">
        <v>114</v>
      </c>
      <c r="D385" s="8">
        <v>3.87</v>
      </c>
      <c r="E385" s="4">
        <v>76</v>
      </c>
      <c r="F385" s="8">
        <v>4.12</v>
      </c>
      <c r="G385" s="4">
        <v>38</v>
      </c>
      <c r="H385" s="8">
        <v>3.5</v>
      </c>
      <c r="I385" s="4">
        <v>0</v>
      </c>
    </row>
    <row r="386" spans="1:9" x14ac:dyDescent="0.2">
      <c r="A386" s="2">
        <v>9</v>
      </c>
      <c r="B386" s="1" t="s">
        <v>99</v>
      </c>
      <c r="C386" s="4">
        <v>106</v>
      </c>
      <c r="D386" s="8">
        <v>3.6</v>
      </c>
      <c r="E386" s="4">
        <v>58</v>
      </c>
      <c r="F386" s="8">
        <v>3.15</v>
      </c>
      <c r="G386" s="4">
        <v>48</v>
      </c>
      <c r="H386" s="8">
        <v>4.42</v>
      </c>
      <c r="I386" s="4">
        <v>0</v>
      </c>
    </row>
    <row r="387" spans="1:9" x14ac:dyDescent="0.2">
      <c r="A387" s="2">
        <v>10</v>
      </c>
      <c r="B387" s="1" t="s">
        <v>114</v>
      </c>
      <c r="C387" s="4">
        <v>104</v>
      </c>
      <c r="D387" s="8">
        <v>3.53</v>
      </c>
      <c r="E387" s="4">
        <v>76</v>
      </c>
      <c r="F387" s="8">
        <v>4.12</v>
      </c>
      <c r="G387" s="4">
        <v>20</v>
      </c>
      <c r="H387" s="8">
        <v>1.84</v>
      </c>
      <c r="I387" s="4">
        <v>0</v>
      </c>
    </row>
    <row r="388" spans="1:9" x14ac:dyDescent="0.2">
      <c r="A388" s="2">
        <v>11</v>
      </c>
      <c r="B388" s="1" t="s">
        <v>104</v>
      </c>
      <c r="C388" s="4">
        <v>99</v>
      </c>
      <c r="D388" s="8">
        <v>3.36</v>
      </c>
      <c r="E388" s="4">
        <v>47</v>
      </c>
      <c r="F388" s="8">
        <v>2.5499999999999998</v>
      </c>
      <c r="G388" s="4">
        <v>52</v>
      </c>
      <c r="H388" s="8">
        <v>4.78</v>
      </c>
      <c r="I388" s="4">
        <v>0</v>
      </c>
    </row>
    <row r="389" spans="1:9" x14ac:dyDescent="0.2">
      <c r="A389" s="2">
        <v>12</v>
      </c>
      <c r="B389" s="1" t="s">
        <v>100</v>
      </c>
      <c r="C389" s="4">
        <v>87</v>
      </c>
      <c r="D389" s="8">
        <v>2.96</v>
      </c>
      <c r="E389" s="4">
        <v>27</v>
      </c>
      <c r="F389" s="8">
        <v>1.47</v>
      </c>
      <c r="G389" s="4">
        <v>60</v>
      </c>
      <c r="H389" s="8">
        <v>5.52</v>
      </c>
      <c r="I389" s="4">
        <v>0</v>
      </c>
    </row>
    <row r="390" spans="1:9" x14ac:dyDescent="0.2">
      <c r="A390" s="2">
        <v>13</v>
      </c>
      <c r="B390" s="1" t="s">
        <v>116</v>
      </c>
      <c r="C390" s="4">
        <v>55</v>
      </c>
      <c r="D390" s="8">
        <v>1.87</v>
      </c>
      <c r="E390" s="4">
        <v>0</v>
      </c>
      <c r="F390" s="8">
        <v>0</v>
      </c>
      <c r="G390" s="4">
        <v>55</v>
      </c>
      <c r="H390" s="8">
        <v>5.0599999999999996</v>
      </c>
      <c r="I390" s="4">
        <v>0</v>
      </c>
    </row>
    <row r="391" spans="1:9" x14ac:dyDescent="0.2">
      <c r="A391" s="2">
        <v>14</v>
      </c>
      <c r="B391" s="1" t="s">
        <v>110</v>
      </c>
      <c r="C391" s="4">
        <v>54</v>
      </c>
      <c r="D391" s="8">
        <v>1.83</v>
      </c>
      <c r="E391" s="4">
        <v>38</v>
      </c>
      <c r="F391" s="8">
        <v>2.06</v>
      </c>
      <c r="G391" s="4">
        <v>16</v>
      </c>
      <c r="H391" s="8">
        <v>1.47</v>
      </c>
      <c r="I391" s="4">
        <v>0</v>
      </c>
    </row>
    <row r="392" spans="1:9" x14ac:dyDescent="0.2">
      <c r="A392" s="2">
        <v>15</v>
      </c>
      <c r="B392" s="1" t="s">
        <v>111</v>
      </c>
      <c r="C392" s="4">
        <v>51</v>
      </c>
      <c r="D392" s="8">
        <v>1.73</v>
      </c>
      <c r="E392" s="4">
        <v>31</v>
      </c>
      <c r="F392" s="8">
        <v>1.68</v>
      </c>
      <c r="G392" s="4">
        <v>19</v>
      </c>
      <c r="H392" s="8">
        <v>1.75</v>
      </c>
      <c r="I392" s="4">
        <v>0</v>
      </c>
    </row>
    <row r="393" spans="1:9" x14ac:dyDescent="0.2">
      <c r="A393" s="2">
        <v>15</v>
      </c>
      <c r="B393" s="1" t="s">
        <v>123</v>
      </c>
      <c r="C393" s="4">
        <v>51</v>
      </c>
      <c r="D393" s="8">
        <v>1.73</v>
      </c>
      <c r="E393" s="4">
        <v>44</v>
      </c>
      <c r="F393" s="8">
        <v>2.39</v>
      </c>
      <c r="G393" s="4">
        <v>7</v>
      </c>
      <c r="H393" s="8">
        <v>0.64</v>
      </c>
      <c r="I393" s="4">
        <v>0</v>
      </c>
    </row>
    <row r="394" spans="1:9" x14ac:dyDescent="0.2">
      <c r="A394" s="2">
        <v>17</v>
      </c>
      <c r="B394" s="1" t="s">
        <v>118</v>
      </c>
      <c r="C394" s="4">
        <v>46</v>
      </c>
      <c r="D394" s="8">
        <v>1.56</v>
      </c>
      <c r="E394" s="4">
        <v>23</v>
      </c>
      <c r="F394" s="8">
        <v>1.25</v>
      </c>
      <c r="G394" s="4">
        <v>23</v>
      </c>
      <c r="H394" s="8">
        <v>2.12</v>
      </c>
      <c r="I394" s="4">
        <v>0</v>
      </c>
    </row>
    <row r="395" spans="1:9" x14ac:dyDescent="0.2">
      <c r="A395" s="2">
        <v>18</v>
      </c>
      <c r="B395" s="1" t="s">
        <v>108</v>
      </c>
      <c r="C395" s="4">
        <v>42</v>
      </c>
      <c r="D395" s="8">
        <v>1.43</v>
      </c>
      <c r="E395" s="4">
        <v>18</v>
      </c>
      <c r="F395" s="8">
        <v>0.98</v>
      </c>
      <c r="G395" s="4">
        <v>24</v>
      </c>
      <c r="H395" s="8">
        <v>2.21</v>
      </c>
      <c r="I395" s="4">
        <v>0</v>
      </c>
    </row>
    <row r="396" spans="1:9" x14ac:dyDescent="0.2">
      <c r="A396" s="2">
        <v>19</v>
      </c>
      <c r="B396" s="1" t="s">
        <v>101</v>
      </c>
      <c r="C396" s="4">
        <v>40</v>
      </c>
      <c r="D396" s="8">
        <v>1.36</v>
      </c>
      <c r="E396" s="4">
        <v>9</v>
      </c>
      <c r="F396" s="8">
        <v>0.49</v>
      </c>
      <c r="G396" s="4">
        <v>31</v>
      </c>
      <c r="H396" s="8">
        <v>2.85</v>
      </c>
      <c r="I396" s="4">
        <v>0</v>
      </c>
    </row>
    <row r="397" spans="1:9" x14ac:dyDescent="0.2">
      <c r="A397" s="2">
        <v>20</v>
      </c>
      <c r="B397" s="1" t="s">
        <v>121</v>
      </c>
      <c r="C397" s="4">
        <v>38</v>
      </c>
      <c r="D397" s="8">
        <v>1.29</v>
      </c>
      <c r="E397" s="4">
        <v>15</v>
      </c>
      <c r="F397" s="8">
        <v>0.81</v>
      </c>
      <c r="G397" s="4">
        <v>23</v>
      </c>
      <c r="H397" s="8">
        <v>2.12</v>
      </c>
      <c r="I397" s="4">
        <v>0</v>
      </c>
    </row>
    <row r="398" spans="1:9" x14ac:dyDescent="0.2">
      <c r="A398" s="1"/>
      <c r="C398" s="4"/>
      <c r="D398" s="8"/>
      <c r="E398" s="4"/>
      <c r="F398" s="8"/>
      <c r="G398" s="4"/>
      <c r="H398" s="8"/>
      <c r="I398" s="4"/>
    </row>
    <row r="399" spans="1:9" x14ac:dyDescent="0.2">
      <c r="A399" s="1" t="s">
        <v>18</v>
      </c>
      <c r="C399" s="4"/>
      <c r="D399" s="8"/>
      <c r="E399" s="4"/>
      <c r="F399" s="8"/>
      <c r="G399" s="4"/>
      <c r="H399" s="8"/>
      <c r="I399" s="4"/>
    </row>
    <row r="400" spans="1:9" x14ac:dyDescent="0.2">
      <c r="A400" s="2">
        <v>1</v>
      </c>
      <c r="B400" s="1" t="s">
        <v>112</v>
      </c>
      <c r="C400" s="4">
        <v>826</v>
      </c>
      <c r="D400" s="8">
        <v>11.48</v>
      </c>
      <c r="E400" s="4">
        <v>725</v>
      </c>
      <c r="F400" s="8">
        <v>18.39</v>
      </c>
      <c r="G400" s="4">
        <v>101</v>
      </c>
      <c r="H400" s="8">
        <v>3.14</v>
      </c>
      <c r="I400" s="4">
        <v>0</v>
      </c>
    </row>
    <row r="401" spans="1:9" x14ac:dyDescent="0.2">
      <c r="A401" s="2">
        <v>2</v>
      </c>
      <c r="B401" s="1" t="s">
        <v>113</v>
      </c>
      <c r="C401" s="4">
        <v>762</v>
      </c>
      <c r="D401" s="8">
        <v>10.6</v>
      </c>
      <c r="E401" s="4">
        <v>653</v>
      </c>
      <c r="F401" s="8">
        <v>16.57</v>
      </c>
      <c r="G401" s="4">
        <v>108</v>
      </c>
      <c r="H401" s="8">
        <v>3.36</v>
      </c>
      <c r="I401" s="4">
        <v>1</v>
      </c>
    </row>
    <row r="402" spans="1:9" x14ac:dyDescent="0.2">
      <c r="A402" s="2">
        <v>3</v>
      </c>
      <c r="B402" s="1" t="s">
        <v>107</v>
      </c>
      <c r="C402" s="4">
        <v>520</v>
      </c>
      <c r="D402" s="8">
        <v>7.23</v>
      </c>
      <c r="E402" s="4">
        <v>279</v>
      </c>
      <c r="F402" s="8">
        <v>7.08</v>
      </c>
      <c r="G402" s="4">
        <v>241</v>
      </c>
      <c r="H402" s="8">
        <v>7.5</v>
      </c>
      <c r="I402" s="4">
        <v>0</v>
      </c>
    </row>
    <row r="403" spans="1:9" x14ac:dyDescent="0.2">
      <c r="A403" s="2">
        <v>4</v>
      </c>
      <c r="B403" s="1" t="s">
        <v>109</v>
      </c>
      <c r="C403" s="4">
        <v>457</v>
      </c>
      <c r="D403" s="8">
        <v>6.35</v>
      </c>
      <c r="E403" s="4">
        <v>171</v>
      </c>
      <c r="F403" s="8">
        <v>4.34</v>
      </c>
      <c r="G403" s="4">
        <v>284</v>
      </c>
      <c r="H403" s="8">
        <v>8.83</v>
      </c>
      <c r="I403" s="4">
        <v>1</v>
      </c>
    </row>
    <row r="404" spans="1:9" x14ac:dyDescent="0.2">
      <c r="A404" s="2">
        <v>5</v>
      </c>
      <c r="B404" s="1" t="s">
        <v>98</v>
      </c>
      <c r="C404" s="4">
        <v>411</v>
      </c>
      <c r="D404" s="8">
        <v>5.71</v>
      </c>
      <c r="E404" s="4">
        <v>97</v>
      </c>
      <c r="F404" s="8">
        <v>2.46</v>
      </c>
      <c r="G404" s="4">
        <v>314</v>
      </c>
      <c r="H404" s="8">
        <v>9.77</v>
      </c>
      <c r="I404" s="4">
        <v>0</v>
      </c>
    </row>
    <row r="405" spans="1:9" x14ac:dyDescent="0.2">
      <c r="A405" s="2">
        <v>6</v>
      </c>
      <c r="B405" s="1" t="s">
        <v>105</v>
      </c>
      <c r="C405" s="4">
        <v>328</v>
      </c>
      <c r="D405" s="8">
        <v>4.5599999999999996</v>
      </c>
      <c r="E405" s="4">
        <v>240</v>
      </c>
      <c r="F405" s="8">
        <v>6.09</v>
      </c>
      <c r="G405" s="4">
        <v>88</v>
      </c>
      <c r="H405" s="8">
        <v>2.74</v>
      </c>
      <c r="I405" s="4">
        <v>0</v>
      </c>
    </row>
    <row r="406" spans="1:9" x14ac:dyDescent="0.2">
      <c r="A406" s="2">
        <v>7</v>
      </c>
      <c r="B406" s="1" t="s">
        <v>99</v>
      </c>
      <c r="C406" s="4">
        <v>280</v>
      </c>
      <c r="D406" s="8">
        <v>3.89</v>
      </c>
      <c r="E406" s="4">
        <v>139</v>
      </c>
      <c r="F406" s="8">
        <v>3.53</v>
      </c>
      <c r="G406" s="4">
        <v>141</v>
      </c>
      <c r="H406" s="8">
        <v>4.3899999999999997</v>
      </c>
      <c r="I406" s="4">
        <v>0</v>
      </c>
    </row>
    <row r="407" spans="1:9" x14ac:dyDescent="0.2">
      <c r="A407" s="2">
        <v>8</v>
      </c>
      <c r="B407" s="1" t="s">
        <v>115</v>
      </c>
      <c r="C407" s="4">
        <v>272</v>
      </c>
      <c r="D407" s="8">
        <v>3.78</v>
      </c>
      <c r="E407" s="4">
        <v>227</v>
      </c>
      <c r="F407" s="8">
        <v>5.76</v>
      </c>
      <c r="G407" s="4">
        <v>45</v>
      </c>
      <c r="H407" s="8">
        <v>1.4</v>
      </c>
      <c r="I407" s="4">
        <v>0</v>
      </c>
    </row>
    <row r="408" spans="1:9" x14ac:dyDescent="0.2">
      <c r="A408" s="2">
        <v>9</v>
      </c>
      <c r="B408" s="1" t="s">
        <v>110</v>
      </c>
      <c r="C408" s="4">
        <v>251</v>
      </c>
      <c r="D408" s="8">
        <v>3.49</v>
      </c>
      <c r="E408" s="4">
        <v>177</v>
      </c>
      <c r="F408" s="8">
        <v>4.49</v>
      </c>
      <c r="G408" s="4">
        <v>72</v>
      </c>
      <c r="H408" s="8">
        <v>2.2400000000000002</v>
      </c>
      <c r="I408" s="4">
        <v>2</v>
      </c>
    </row>
    <row r="409" spans="1:9" x14ac:dyDescent="0.2">
      <c r="A409" s="2">
        <v>10</v>
      </c>
      <c r="B409" s="1" t="s">
        <v>106</v>
      </c>
      <c r="C409" s="4">
        <v>230</v>
      </c>
      <c r="D409" s="8">
        <v>3.2</v>
      </c>
      <c r="E409" s="4">
        <v>152</v>
      </c>
      <c r="F409" s="8">
        <v>3.86</v>
      </c>
      <c r="G409" s="4">
        <v>78</v>
      </c>
      <c r="H409" s="8">
        <v>2.4300000000000002</v>
      </c>
      <c r="I409" s="4">
        <v>0</v>
      </c>
    </row>
    <row r="410" spans="1:9" x14ac:dyDescent="0.2">
      <c r="A410" s="2">
        <v>11</v>
      </c>
      <c r="B410" s="1" t="s">
        <v>114</v>
      </c>
      <c r="C410" s="4">
        <v>222</v>
      </c>
      <c r="D410" s="8">
        <v>3.09</v>
      </c>
      <c r="E410" s="4">
        <v>164</v>
      </c>
      <c r="F410" s="8">
        <v>4.16</v>
      </c>
      <c r="G410" s="4">
        <v>54</v>
      </c>
      <c r="H410" s="8">
        <v>1.68</v>
      </c>
      <c r="I410" s="4">
        <v>2</v>
      </c>
    </row>
    <row r="411" spans="1:9" x14ac:dyDescent="0.2">
      <c r="A411" s="2">
        <v>12</v>
      </c>
      <c r="B411" s="1" t="s">
        <v>100</v>
      </c>
      <c r="C411" s="4">
        <v>215</v>
      </c>
      <c r="D411" s="8">
        <v>2.99</v>
      </c>
      <c r="E411" s="4">
        <v>69</v>
      </c>
      <c r="F411" s="8">
        <v>1.75</v>
      </c>
      <c r="G411" s="4">
        <v>146</v>
      </c>
      <c r="H411" s="8">
        <v>4.54</v>
      </c>
      <c r="I411" s="4">
        <v>0</v>
      </c>
    </row>
    <row r="412" spans="1:9" x14ac:dyDescent="0.2">
      <c r="A412" s="2">
        <v>13</v>
      </c>
      <c r="B412" s="1" t="s">
        <v>104</v>
      </c>
      <c r="C412" s="4">
        <v>182</v>
      </c>
      <c r="D412" s="8">
        <v>2.5299999999999998</v>
      </c>
      <c r="E412" s="4">
        <v>92</v>
      </c>
      <c r="F412" s="8">
        <v>2.33</v>
      </c>
      <c r="G412" s="4">
        <v>90</v>
      </c>
      <c r="H412" s="8">
        <v>2.8</v>
      </c>
      <c r="I412" s="4">
        <v>0</v>
      </c>
    </row>
    <row r="413" spans="1:9" x14ac:dyDescent="0.2">
      <c r="A413" s="2">
        <v>14</v>
      </c>
      <c r="B413" s="1" t="s">
        <v>103</v>
      </c>
      <c r="C413" s="4">
        <v>148</v>
      </c>
      <c r="D413" s="8">
        <v>2.06</v>
      </c>
      <c r="E413" s="4">
        <v>38</v>
      </c>
      <c r="F413" s="8">
        <v>0.96</v>
      </c>
      <c r="G413" s="4">
        <v>109</v>
      </c>
      <c r="H413" s="8">
        <v>3.39</v>
      </c>
      <c r="I413" s="4">
        <v>1</v>
      </c>
    </row>
    <row r="414" spans="1:9" x14ac:dyDescent="0.2">
      <c r="A414" s="2">
        <v>15</v>
      </c>
      <c r="B414" s="1" t="s">
        <v>123</v>
      </c>
      <c r="C414" s="4">
        <v>144</v>
      </c>
      <c r="D414" s="8">
        <v>2</v>
      </c>
      <c r="E414" s="4">
        <v>119</v>
      </c>
      <c r="F414" s="8">
        <v>3.02</v>
      </c>
      <c r="G414" s="4">
        <v>25</v>
      </c>
      <c r="H414" s="8">
        <v>0.78</v>
      </c>
      <c r="I414" s="4">
        <v>0</v>
      </c>
    </row>
    <row r="415" spans="1:9" x14ac:dyDescent="0.2">
      <c r="A415" s="2">
        <v>16</v>
      </c>
      <c r="B415" s="1" t="s">
        <v>102</v>
      </c>
      <c r="C415" s="4">
        <v>138</v>
      </c>
      <c r="D415" s="8">
        <v>1.92</v>
      </c>
      <c r="E415" s="4">
        <v>22</v>
      </c>
      <c r="F415" s="8">
        <v>0.56000000000000005</v>
      </c>
      <c r="G415" s="4">
        <v>116</v>
      </c>
      <c r="H415" s="8">
        <v>3.61</v>
      </c>
      <c r="I415" s="4">
        <v>0</v>
      </c>
    </row>
    <row r="416" spans="1:9" x14ac:dyDescent="0.2">
      <c r="A416" s="2">
        <v>17</v>
      </c>
      <c r="B416" s="1" t="s">
        <v>111</v>
      </c>
      <c r="C416" s="4">
        <v>135</v>
      </c>
      <c r="D416" s="8">
        <v>1.88</v>
      </c>
      <c r="E416" s="4">
        <v>71</v>
      </c>
      <c r="F416" s="8">
        <v>1.8</v>
      </c>
      <c r="G416" s="4">
        <v>61</v>
      </c>
      <c r="H416" s="8">
        <v>1.9</v>
      </c>
      <c r="I416" s="4">
        <v>1</v>
      </c>
    </row>
    <row r="417" spans="1:9" x14ac:dyDescent="0.2">
      <c r="A417" s="2">
        <v>18</v>
      </c>
      <c r="B417" s="1" t="s">
        <v>116</v>
      </c>
      <c r="C417" s="4">
        <v>133</v>
      </c>
      <c r="D417" s="8">
        <v>1.85</v>
      </c>
      <c r="E417" s="4">
        <v>2</v>
      </c>
      <c r="F417" s="8">
        <v>0.05</v>
      </c>
      <c r="G417" s="4">
        <v>119</v>
      </c>
      <c r="H417" s="8">
        <v>3.7</v>
      </c>
      <c r="I417" s="4">
        <v>2</v>
      </c>
    </row>
    <row r="418" spans="1:9" x14ac:dyDescent="0.2">
      <c r="A418" s="2">
        <v>19</v>
      </c>
      <c r="B418" s="1" t="s">
        <v>108</v>
      </c>
      <c r="C418" s="4">
        <v>128</v>
      </c>
      <c r="D418" s="8">
        <v>1.78</v>
      </c>
      <c r="E418" s="4">
        <v>41</v>
      </c>
      <c r="F418" s="8">
        <v>1.04</v>
      </c>
      <c r="G418" s="4">
        <v>87</v>
      </c>
      <c r="H418" s="8">
        <v>2.71</v>
      </c>
      <c r="I418" s="4">
        <v>0</v>
      </c>
    </row>
    <row r="419" spans="1:9" x14ac:dyDescent="0.2">
      <c r="A419" s="2">
        <v>20</v>
      </c>
      <c r="B419" s="1" t="s">
        <v>101</v>
      </c>
      <c r="C419" s="4">
        <v>95</v>
      </c>
      <c r="D419" s="8">
        <v>1.32</v>
      </c>
      <c r="E419" s="4">
        <v>23</v>
      </c>
      <c r="F419" s="8">
        <v>0.57999999999999996</v>
      </c>
      <c r="G419" s="4">
        <v>72</v>
      </c>
      <c r="H419" s="8">
        <v>2.2400000000000002</v>
      </c>
      <c r="I419" s="4">
        <v>0</v>
      </c>
    </row>
    <row r="420" spans="1:9" x14ac:dyDescent="0.2">
      <c r="A420" s="1"/>
      <c r="C420" s="4"/>
      <c r="D420" s="8"/>
      <c r="E420" s="4"/>
      <c r="F420" s="8"/>
      <c r="G420" s="4"/>
      <c r="H420" s="8"/>
      <c r="I420" s="4"/>
    </row>
    <row r="421" spans="1:9" x14ac:dyDescent="0.2">
      <c r="A421" s="1" t="s">
        <v>19</v>
      </c>
      <c r="C421" s="4"/>
      <c r="D421" s="8"/>
      <c r="E421" s="4"/>
      <c r="F421" s="8"/>
      <c r="G421" s="4"/>
      <c r="H421" s="8"/>
      <c r="I421" s="4"/>
    </row>
    <row r="422" spans="1:9" x14ac:dyDescent="0.2">
      <c r="A422" s="2">
        <v>1</v>
      </c>
      <c r="B422" s="1" t="s">
        <v>113</v>
      </c>
      <c r="C422" s="4">
        <v>152</v>
      </c>
      <c r="D422" s="8">
        <v>10.82</v>
      </c>
      <c r="E422" s="4">
        <v>132</v>
      </c>
      <c r="F422" s="8">
        <v>18.309999999999999</v>
      </c>
      <c r="G422" s="4">
        <v>20</v>
      </c>
      <c r="H422" s="8">
        <v>2.97</v>
      </c>
      <c r="I422" s="4">
        <v>0</v>
      </c>
    </row>
    <row r="423" spans="1:9" x14ac:dyDescent="0.2">
      <c r="A423" s="2">
        <v>2</v>
      </c>
      <c r="B423" s="1" t="s">
        <v>112</v>
      </c>
      <c r="C423" s="4">
        <v>137</v>
      </c>
      <c r="D423" s="8">
        <v>9.75</v>
      </c>
      <c r="E423" s="4">
        <v>125</v>
      </c>
      <c r="F423" s="8">
        <v>17.34</v>
      </c>
      <c r="G423" s="4">
        <v>12</v>
      </c>
      <c r="H423" s="8">
        <v>1.78</v>
      </c>
      <c r="I423" s="4">
        <v>0</v>
      </c>
    </row>
    <row r="424" spans="1:9" x14ac:dyDescent="0.2">
      <c r="A424" s="2">
        <v>3</v>
      </c>
      <c r="B424" s="1" t="s">
        <v>107</v>
      </c>
      <c r="C424" s="4">
        <v>129</v>
      </c>
      <c r="D424" s="8">
        <v>9.18</v>
      </c>
      <c r="E424" s="4">
        <v>58</v>
      </c>
      <c r="F424" s="8">
        <v>8.0399999999999991</v>
      </c>
      <c r="G424" s="4">
        <v>71</v>
      </c>
      <c r="H424" s="8">
        <v>10.53</v>
      </c>
      <c r="I424" s="4">
        <v>0</v>
      </c>
    </row>
    <row r="425" spans="1:9" x14ac:dyDescent="0.2">
      <c r="A425" s="2">
        <v>4</v>
      </c>
      <c r="B425" s="1" t="s">
        <v>98</v>
      </c>
      <c r="C425" s="4">
        <v>100</v>
      </c>
      <c r="D425" s="8">
        <v>7.12</v>
      </c>
      <c r="E425" s="4">
        <v>22</v>
      </c>
      <c r="F425" s="8">
        <v>3.05</v>
      </c>
      <c r="G425" s="4">
        <v>78</v>
      </c>
      <c r="H425" s="8">
        <v>11.57</v>
      </c>
      <c r="I425" s="4">
        <v>0</v>
      </c>
    </row>
    <row r="426" spans="1:9" x14ac:dyDescent="0.2">
      <c r="A426" s="2">
        <v>5</v>
      </c>
      <c r="B426" s="1" t="s">
        <v>105</v>
      </c>
      <c r="C426" s="4">
        <v>93</v>
      </c>
      <c r="D426" s="8">
        <v>6.62</v>
      </c>
      <c r="E426" s="4">
        <v>71</v>
      </c>
      <c r="F426" s="8">
        <v>9.85</v>
      </c>
      <c r="G426" s="4">
        <v>22</v>
      </c>
      <c r="H426" s="8">
        <v>3.26</v>
      </c>
      <c r="I426" s="4">
        <v>0</v>
      </c>
    </row>
    <row r="427" spans="1:9" x14ac:dyDescent="0.2">
      <c r="A427" s="2">
        <v>6</v>
      </c>
      <c r="B427" s="1" t="s">
        <v>109</v>
      </c>
      <c r="C427" s="4">
        <v>63</v>
      </c>
      <c r="D427" s="8">
        <v>4.4800000000000004</v>
      </c>
      <c r="E427" s="4">
        <v>9</v>
      </c>
      <c r="F427" s="8">
        <v>1.25</v>
      </c>
      <c r="G427" s="4">
        <v>53</v>
      </c>
      <c r="H427" s="8">
        <v>7.86</v>
      </c>
      <c r="I427" s="4">
        <v>0</v>
      </c>
    </row>
    <row r="428" spans="1:9" x14ac:dyDescent="0.2">
      <c r="A428" s="2">
        <v>7</v>
      </c>
      <c r="B428" s="1" t="s">
        <v>115</v>
      </c>
      <c r="C428" s="4">
        <v>51</v>
      </c>
      <c r="D428" s="8">
        <v>3.63</v>
      </c>
      <c r="E428" s="4">
        <v>44</v>
      </c>
      <c r="F428" s="8">
        <v>6.1</v>
      </c>
      <c r="G428" s="4">
        <v>6</v>
      </c>
      <c r="H428" s="8">
        <v>0.89</v>
      </c>
      <c r="I428" s="4">
        <v>1</v>
      </c>
    </row>
    <row r="429" spans="1:9" x14ac:dyDescent="0.2">
      <c r="A429" s="2">
        <v>8</v>
      </c>
      <c r="B429" s="1" t="s">
        <v>104</v>
      </c>
      <c r="C429" s="4">
        <v>50</v>
      </c>
      <c r="D429" s="8">
        <v>3.56</v>
      </c>
      <c r="E429" s="4">
        <v>18</v>
      </c>
      <c r="F429" s="8">
        <v>2.5</v>
      </c>
      <c r="G429" s="4">
        <v>32</v>
      </c>
      <c r="H429" s="8">
        <v>4.75</v>
      </c>
      <c r="I429" s="4">
        <v>0</v>
      </c>
    </row>
    <row r="430" spans="1:9" x14ac:dyDescent="0.2">
      <c r="A430" s="2">
        <v>9</v>
      </c>
      <c r="B430" s="1" t="s">
        <v>106</v>
      </c>
      <c r="C430" s="4">
        <v>47</v>
      </c>
      <c r="D430" s="8">
        <v>3.35</v>
      </c>
      <c r="E430" s="4">
        <v>31</v>
      </c>
      <c r="F430" s="8">
        <v>4.3</v>
      </c>
      <c r="G430" s="4">
        <v>16</v>
      </c>
      <c r="H430" s="8">
        <v>2.37</v>
      </c>
      <c r="I430" s="4">
        <v>0</v>
      </c>
    </row>
    <row r="431" spans="1:9" x14ac:dyDescent="0.2">
      <c r="A431" s="2">
        <v>10</v>
      </c>
      <c r="B431" s="1" t="s">
        <v>99</v>
      </c>
      <c r="C431" s="4">
        <v>43</v>
      </c>
      <c r="D431" s="8">
        <v>3.06</v>
      </c>
      <c r="E431" s="4">
        <v>15</v>
      </c>
      <c r="F431" s="8">
        <v>2.08</v>
      </c>
      <c r="G431" s="4">
        <v>28</v>
      </c>
      <c r="H431" s="8">
        <v>4.1500000000000004</v>
      </c>
      <c r="I431" s="4">
        <v>0</v>
      </c>
    </row>
    <row r="432" spans="1:9" x14ac:dyDescent="0.2">
      <c r="A432" s="2">
        <v>11</v>
      </c>
      <c r="B432" s="1" t="s">
        <v>100</v>
      </c>
      <c r="C432" s="4">
        <v>42</v>
      </c>
      <c r="D432" s="8">
        <v>2.99</v>
      </c>
      <c r="E432" s="4">
        <v>13</v>
      </c>
      <c r="F432" s="8">
        <v>1.8</v>
      </c>
      <c r="G432" s="4">
        <v>29</v>
      </c>
      <c r="H432" s="8">
        <v>4.3</v>
      </c>
      <c r="I432" s="4">
        <v>0</v>
      </c>
    </row>
    <row r="433" spans="1:9" x14ac:dyDescent="0.2">
      <c r="A433" s="2">
        <v>12</v>
      </c>
      <c r="B433" s="1" t="s">
        <v>129</v>
      </c>
      <c r="C433" s="4">
        <v>38</v>
      </c>
      <c r="D433" s="8">
        <v>2.7</v>
      </c>
      <c r="E433" s="4">
        <v>9</v>
      </c>
      <c r="F433" s="8">
        <v>1.25</v>
      </c>
      <c r="G433" s="4">
        <v>29</v>
      </c>
      <c r="H433" s="8">
        <v>4.3</v>
      </c>
      <c r="I433" s="4">
        <v>0</v>
      </c>
    </row>
    <row r="434" spans="1:9" x14ac:dyDescent="0.2">
      <c r="A434" s="2">
        <v>13</v>
      </c>
      <c r="B434" s="1" t="s">
        <v>110</v>
      </c>
      <c r="C434" s="4">
        <v>36</v>
      </c>
      <c r="D434" s="8">
        <v>2.56</v>
      </c>
      <c r="E434" s="4">
        <v>22</v>
      </c>
      <c r="F434" s="8">
        <v>3.05</v>
      </c>
      <c r="G434" s="4">
        <v>14</v>
      </c>
      <c r="H434" s="8">
        <v>2.08</v>
      </c>
      <c r="I434" s="4">
        <v>0</v>
      </c>
    </row>
    <row r="435" spans="1:9" x14ac:dyDescent="0.2">
      <c r="A435" s="2">
        <v>14</v>
      </c>
      <c r="B435" s="1" t="s">
        <v>119</v>
      </c>
      <c r="C435" s="4">
        <v>32</v>
      </c>
      <c r="D435" s="8">
        <v>2.2799999999999998</v>
      </c>
      <c r="E435" s="4">
        <v>11</v>
      </c>
      <c r="F435" s="8">
        <v>1.53</v>
      </c>
      <c r="G435" s="4">
        <v>21</v>
      </c>
      <c r="H435" s="8">
        <v>3.12</v>
      </c>
      <c r="I435" s="4">
        <v>0</v>
      </c>
    </row>
    <row r="436" spans="1:9" x14ac:dyDescent="0.2">
      <c r="A436" s="2">
        <v>15</v>
      </c>
      <c r="B436" s="1" t="s">
        <v>114</v>
      </c>
      <c r="C436" s="4">
        <v>28</v>
      </c>
      <c r="D436" s="8">
        <v>1.99</v>
      </c>
      <c r="E436" s="4">
        <v>15</v>
      </c>
      <c r="F436" s="8">
        <v>2.08</v>
      </c>
      <c r="G436" s="4">
        <v>12</v>
      </c>
      <c r="H436" s="8">
        <v>1.78</v>
      </c>
      <c r="I436" s="4">
        <v>0</v>
      </c>
    </row>
    <row r="437" spans="1:9" x14ac:dyDescent="0.2">
      <c r="A437" s="2">
        <v>16</v>
      </c>
      <c r="B437" s="1" t="s">
        <v>101</v>
      </c>
      <c r="C437" s="4">
        <v>27</v>
      </c>
      <c r="D437" s="8">
        <v>1.92</v>
      </c>
      <c r="E437" s="4">
        <v>4</v>
      </c>
      <c r="F437" s="8">
        <v>0.55000000000000004</v>
      </c>
      <c r="G437" s="4">
        <v>23</v>
      </c>
      <c r="H437" s="8">
        <v>3.41</v>
      </c>
      <c r="I437" s="4">
        <v>0</v>
      </c>
    </row>
    <row r="438" spans="1:9" x14ac:dyDescent="0.2">
      <c r="A438" s="2">
        <v>17</v>
      </c>
      <c r="B438" s="1" t="s">
        <v>116</v>
      </c>
      <c r="C438" s="4">
        <v>24</v>
      </c>
      <c r="D438" s="8">
        <v>1.71</v>
      </c>
      <c r="E438" s="4">
        <v>1</v>
      </c>
      <c r="F438" s="8">
        <v>0.14000000000000001</v>
      </c>
      <c r="G438" s="4">
        <v>22</v>
      </c>
      <c r="H438" s="8">
        <v>3.26</v>
      </c>
      <c r="I438" s="4">
        <v>0</v>
      </c>
    </row>
    <row r="439" spans="1:9" x14ac:dyDescent="0.2">
      <c r="A439" s="2">
        <v>18</v>
      </c>
      <c r="B439" s="1" t="s">
        <v>128</v>
      </c>
      <c r="C439" s="4">
        <v>21</v>
      </c>
      <c r="D439" s="8">
        <v>1.49</v>
      </c>
      <c r="E439" s="4">
        <v>13</v>
      </c>
      <c r="F439" s="8">
        <v>1.8</v>
      </c>
      <c r="G439" s="4">
        <v>8</v>
      </c>
      <c r="H439" s="8">
        <v>1.19</v>
      </c>
      <c r="I439" s="4">
        <v>0</v>
      </c>
    </row>
    <row r="440" spans="1:9" x14ac:dyDescent="0.2">
      <c r="A440" s="2">
        <v>18</v>
      </c>
      <c r="B440" s="1" t="s">
        <v>111</v>
      </c>
      <c r="C440" s="4">
        <v>21</v>
      </c>
      <c r="D440" s="8">
        <v>1.49</v>
      </c>
      <c r="E440" s="4">
        <v>11</v>
      </c>
      <c r="F440" s="8">
        <v>1.53</v>
      </c>
      <c r="G440" s="4">
        <v>9</v>
      </c>
      <c r="H440" s="8">
        <v>1.34</v>
      </c>
      <c r="I440" s="4">
        <v>0</v>
      </c>
    </row>
    <row r="441" spans="1:9" x14ac:dyDescent="0.2">
      <c r="A441" s="2">
        <v>20</v>
      </c>
      <c r="B441" s="1" t="s">
        <v>123</v>
      </c>
      <c r="C441" s="4">
        <v>19</v>
      </c>
      <c r="D441" s="8">
        <v>1.35</v>
      </c>
      <c r="E441" s="4">
        <v>16</v>
      </c>
      <c r="F441" s="8">
        <v>2.2200000000000002</v>
      </c>
      <c r="G441" s="4">
        <v>3</v>
      </c>
      <c r="H441" s="8">
        <v>0.45</v>
      </c>
      <c r="I441" s="4">
        <v>0</v>
      </c>
    </row>
    <row r="442" spans="1:9" x14ac:dyDescent="0.2">
      <c r="A442" s="1"/>
      <c r="C442" s="4"/>
      <c r="D442" s="8"/>
      <c r="E442" s="4"/>
      <c r="F442" s="8"/>
      <c r="G442" s="4"/>
      <c r="H442" s="8"/>
      <c r="I442" s="4"/>
    </row>
    <row r="443" spans="1:9" x14ac:dyDescent="0.2">
      <c r="A443" s="1" t="s">
        <v>20</v>
      </c>
      <c r="C443" s="4"/>
      <c r="D443" s="8"/>
      <c r="E443" s="4"/>
      <c r="F443" s="8"/>
      <c r="G443" s="4"/>
      <c r="H443" s="8"/>
      <c r="I443" s="4"/>
    </row>
    <row r="444" spans="1:9" x14ac:dyDescent="0.2">
      <c r="A444" s="2">
        <v>1</v>
      </c>
      <c r="B444" s="1" t="s">
        <v>113</v>
      </c>
      <c r="C444" s="4">
        <v>356</v>
      </c>
      <c r="D444" s="8">
        <v>12.44</v>
      </c>
      <c r="E444" s="4">
        <v>311</v>
      </c>
      <c r="F444" s="8">
        <v>19.52</v>
      </c>
      <c r="G444" s="4">
        <v>45</v>
      </c>
      <c r="H444" s="8">
        <v>3.61</v>
      </c>
      <c r="I444" s="4">
        <v>0</v>
      </c>
    </row>
    <row r="445" spans="1:9" x14ac:dyDescent="0.2">
      <c r="A445" s="2">
        <v>2</v>
      </c>
      <c r="B445" s="1" t="s">
        <v>112</v>
      </c>
      <c r="C445" s="4">
        <v>327</v>
      </c>
      <c r="D445" s="8">
        <v>11.43</v>
      </c>
      <c r="E445" s="4">
        <v>300</v>
      </c>
      <c r="F445" s="8">
        <v>18.829999999999998</v>
      </c>
      <c r="G445" s="4">
        <v>27</v>
      </c>
      <c r="H445" s="8">
        <v>2.17</v>
      </c>
      <c r="I445" s="4">
        <v>0</v>
      </c>
    </row>
    <row r="446" spans="1:9" x14ac:dyDescent="0.2">
      <c r="A446" s="2">
        <v>3</v>
      </c>
      <c r="B446" s="1" t="s">
        <v>98</v>
      </c>
      <c r="C446" s="4">
        <v>212</v>
      </c>
      <c r="D446" s="8">
        <v>7.41</v>
      </c>
      <c r="E446" s="4">
        <v>43</v>
      </c>
      <c r="F446" s="8">
        <v>2.7</v>
      </c>
      <c r="G446" s="4">
        <v>169</v>
      </c>
      <c r="H446" s="8">
        <v>13.55</v>
      </c>
      <c r="I446" s="4">
        <v>0</v>
      </c>
    </row>
    <row r="447" spans="1:9" x14ac:dyDescent="0.2">
      <c r="A447" s="2">
        <v>3</v>
      </c>
      <c r="B447" s="1" t="s">
        <v>107</v>
      </c>
      <c r="C447" s="4">
        <v>212</v>
      </c>
      <c r="D447" s="8">
        <v>7.41</v>
      </c>
      <c r="E447" s="4">
        <v>106</v>
      </c>
      <c r="F447" s="8">
        <v>6.65</v>
      </c>
      <c r="G447" s="4">
        <v>106</v>
      </c>
      <c r="H447" s="8">
        <v>8.5</v>
      </c>
      <c r="I447" s="4">
        <v>0</v>
      </c>
    </row>
    <row r="448" spans="1:9" x14ac:dyDescent="0.2">
      <c r="A448" s="2">
        <v>5</v>
      </c>
      <c r="B448" s="1" t="s">
        <v>105</v>
      </c>
      <c r="C448" s="4">
        <v>161</v>
      </c>
      <c r="D448" s="8">
        <v>5.63</v>
      </c>
      <c r="E448" s="4">
        <v>118</v>
      </c>
      <c r="F448" s="8">
        <v>7.41</v>
      </c>
      <c r="G448" s="4">
        <v>43</v>
      </c>
      <c r="H448" s="8">
        <v>3.45</v>
      </c>
      <c r="I448" s="4">
        <v>0</v>
      </c>
    </row>
    <row r="449" spans="1:9" x14ac:dyDescent="0.2">
      <c r="A449" s="2">
        <v>6</v>
      </c>
      <c r="B449" s="1" t="s">
        <v>109</v>
      </c>
      <c r="C449" s="4">
        <v>125</v>
      </c>
      <c r="D449" s="8">
        <v>4.37</v>
      </c>
      <c r="E449" s="4">
        <v>36</v>
      </c>
      <c r="F449" s="8">
        <v>2.2599999999999998</v>
      </c>
      <c r="G449" s="4">
        <v>89</v>
      </c>
      <c r="H449" s="8">
        <v>7.14</v>
      </c>
      <c r="I449" s="4">
        <v>0</v>
      </c>
    </row>
    <row r="450" spans="1:9" x14ac:dyDescent="0.2">
      <c r="A450" s="2">
        <v>7</v>
      </c>
      <c r="B450" s="1" t="s">
        <v>106</v>
      </c>
      <c r="C450" s="4">
        <v>117</v>
      </c>
      <c r="D450" s="8">
        <v>4.09</v>
      </c>
      <c r="E450" s="4">
        <v>83</v>
      </c>
      <c r="F450" s="8">
        <v>5.21</v>
      </c>
      <c r="G450" s="4">
        <v>34</v>
      </c>
      <c r="H450" s="8">
        <v>2.73</v>
      </c>
      <c r="I450" s="4">
        <v>0</v>
      </c>
    </row>
    <row r="451" spans="1:9" x14ac:dyDescent="0.2">
      <c r="A451" s="2">
        <v>8</v>
      </c>
      <c r="B451" s="1" t="s">
        <v>115</v>
      </c>
      <c r="C451" s="4">
        <v>110</v>
      </c>
      <c r="D451" s="8">
        <v>3.84</v>
      </c>
      <c r="E451" s="4">
        <v>92</v>
      </c>
      <c r="F451" s="8">
        <v>5.78</v>
      </c>
      <c r="G451" s="4">
        <v>18</v>
      </c>
      <c r="H451" s="8">
        <v>1.44</v>
      </c>
      <c r="I451" s="4">
        <v>0</v>
      </c>
    </row>
    <row r="452" spans="1:9" x14ac:dyDescent="0.2">
      <c r="A452" s="2">
        <v>9</v>
      </c>
      <c r="B452" s="1" t="s">
        <v>99</v>
      </c>
      <c r="C452" s="4">
        <v>99</v>
      </c>
      <c r="D452" s="8">
        <v>3.46</v>
      </c>
      <c r="E452" s="4">
        <v>38</v>
      </c>
      <c r="F452" s="8">
        <v>2.39</v>
      </c>
      <c r="G452" s="4">
        <v>61</v>
      </c>
      <c r="H452" s="8">
        <v>4.8899999999999997</v>
      </c>
      <c r="I452" s="4">
        <v>0</v>
      </c>
    </row>
    <row r="453" spans="1:9" x14ac:dyDescent="0.2">
      <c r="A453" s="2">
        <v>10</v>
      </c>
      <c r="B453" s="1" t="s">
        <v>104</v>
      </c>
      <c r="C453" s="4">
        <v>88</v>
      </c>
      <c r="D453" s="8">
        <v>3.08</v>
      </c>
      <c r="E453" s="4">
        <v>51</v>
      </c>
      <c r="F453" s="8">
        <v>3.2</v>
      </c>
      <c r="G453" s="4">
        <v>37</v>
      </c>
      <c r="H453" s="8">
        <v>2.97</v>
      </c>
      <c r="I453" s="4">
        <v>0</v>
      </c>
    </row>
    <row r="454" spans="1:9" x14ac:dyDescent="0.2">
      <c r="A454" s="2">
        <v>11</v>
      </c>
      <c r="B454" s="1" t="s">
        <v>100</v>
      </c>
      <c r="C454" s="4">
        <v>85</v>
      </c>
      <c r="D454" s="8">
        <v>2.97</v>
      </c>
      <c r="E454" s="4">
        <v>23</v>
      </c>
      <c r="F454" s="8">
        <v>1.44</v>
      </c>
      <c r="G454" s="4">
        <v>62</v>
      </c>
      <c r="H454" s="8">
        <v>4.97</v>
      </c>
      <c r="I454" s="4">
        <v>0</v>
      </c>
    </row>
    <row r="455" spans="1:9" x14ac:dyDescent="0.2">
      <c r="A455" s="2">
        <v>12</v>
      </c>
      <c r="B455" s="1" t="s">
        <v>114</v>
      </c>
      <c r="C455" s="4">
        <v>74</v>
      </c>
      <c r="D455" s="8">
        <v>2.59</v>
      </c>
      <c r="E455" s="4">
        <v>43</v>
      </c>
      <c r="F455" s="8">
        <v>2.7</v>
      </c>
      <c r="G455" s="4">
        <v>21</v>
      </c>
      <c r="H455" s="8">
        <v>1.68</v>
      </c>
      <c r="I455" s="4">
        <v>0</v>
      </c>
    </row>
    <row r="456" spans="1:9" x14ac:dyDescent="0.2">
      <c r="A456" s="2">
        <v>13</v>
      </c>
      <c r="B456" s="1" t="s">
        <v>110</v>
      </c>
      <c r="C456" s="4">
        <v>65</v>
      </c>
      <c r="D456" s="8">
        <v>2.27</v>
      </c>
      <c r="E456" s="4">
        <v>49</v>
      </c>
      <c r="F456" s="8">
        <v>3.08</v>
      </c>
      <c r="G456" s="4">
        <v>16</v>
      </c>
      <c r="H456" s="8">
        <v>1.28</v>
      </c>
      <c r="I456" s="4">
        <v>0</v>
      </c>
    </row>
    <row r="457" spans="1:9" x14ac:dyDescent="0.2">
      <c r="A457" s="2">
        <v>14</v>
      </c>
      <c r="B457" s="1" t="s">
        <v>123</v>
      </c>
      <c r="C457" s="4">
        <v>61</v>
      </c>
      <c r="D457" s="8">
        <v>2.13</v>
      </c>
      <c r="E457" s="4">
        <v>50</v>
      </c>
      <c r="F457" s="8">
        <v>3.14</v>
      </c>
      <c r="G457" s="4">
        <v>11</v>
      </c>
      <c r="H457" s="8">
        <v>0.88</v>
      </c>
      <c r="I457" s="4">
        <v>0</v>
      </c>
    </row>
    <row r="458" spans="1:9" x14ac:dyDescent="0.2">
      <c r="A458" s="2">
        <v>15</v>
      </c>
      <c r="B458" s="1" t="s">
        <v>111</v>
      </c>
      <c r="C458" s="4">
        <v>54</v>
      </c>
      <c r="D458" s="8">
        <v>1.89</v>
      </c>
      <c r="E458" s="4">
        <v>26</v>
      </c>
      <c r="F458" s="8">
        <v>1.63</v>
      </c>
      <c r="G458" s="4">
        <v>27</v>
      </c>
      <c r="H458" s="8">
        <v>2.17</v>
      </c>
      <c r="I458" s="4">
        <v>0</v>
      </c>
    </row>
    <row r="459" spans="1:9" x14ac:dyDescent="0.2">
      <c r="A459" s="2">
        <v>16</v>
      </c>
      <c r="B459" s="1" t="s">
        <v>116</v>
      </c>
      <c r="C459" s="4">
        <v>52</v>
      </c>
      <c r="D459" s="8">
        <v>1.82</v>
      </c>
      <c r="E459" s="4">
        <v>1</v>
      </c>
      <c r="F459" s="8">
        <v>0.06</v>
      </c>
      <c r="G459" s="4">
        <v>49</v>
      </c>
      <c r="H459" s="8">
        <v>3.93</v>
      </c>
      <c r="I459" s="4">
        <v>0</v>
      </c>
    </row>
    <row r="460" spans="1:9" x14ac:dyDescent="0.2">
      <c r="A460" s="2">
        <v>17</v>
      </c>
      <c r="B460" s="1" t="s">
        <v>121</v>
      </c>
      <c r="C460" s="4">
        <v>51</v>
      </c>
      <c r="D460" s="8">
        <v>1.78</v>
      </c>
      <c r="E460" s="4">
        <v>27</v>
      </c>
      <c r="F460" s="8">
        <v>1.69</v>
      </c>
      <c r="G460" s="4">
        <v>24</v>
      </c>
      <c r="H460" s="8">
        <v>1.92</v>
      </c>
      <c r="I460" s="4">
        <v>0</v>
      </c>
    </row>
    <row r="461" spans="1:9" x14ac:dyDescent="0.2">
      <c r="A461" s="2">
        <v>18</v>
      </c>
      <c r="B461" s="1" t="s">
        <v>102</v>
      </c>
      <c r="C461" s="4">
        <v>49</v>
      </c>
      <c r="D461" s="8">
        <v>1.71</v>
      </c>
      <c r="E461" s="4">
        <v>7</v>
      </c>
      <c r="F461" s="8">
        <v>0.44</v>
      </c>
      <c r="G461" s="4">
        <v>42</v>
      </c>
      <c r="H461" s="8">
        <v>3.37</v>
      </c>
      <c r="I461" s="4">
        <v>0</v>
      </c>
    </row>
    <row r="462" spans="1:9" x14ac:dyDescent="0.2">
      <c r="A462" s="2">
        <v>19</v>
      </c>
      <c r="B462" s="1" t="s">
        <v>118</v>
      </c>
      <c r="C462" s="4">
        <v>46</v>
      </c>
      <c r="D462" s="8">
        <v>1.61</v>
      </c>
      <c r="E462" s="4">
        <v>27</v>
      </c>
      <c r="F462" s="8">
        <v>1.69</v>
      </c>
      <c r="G462" s="4">
        <v>19</v>
      </c>
      <c r="H462" s="8">
        <v>1.52</v>
      </c>
      <c r="I462" s="4">
        <v>0</v>
      </c>
    </row>
    <row r="463" spans="1:9" x14ac:dyDescent="0.2">
      <c r="A463" s="2">
        <v>20</v>
      </c>
      <c r="B463" s="1" t="s">
        <v>101</v>
      </c>
      <c r="C463" s="4">
        <v>40</v>
      </c>
      <c r="D463" s="8">
        <v>1.4</v>
      </c>
      <c r="E463" s="4">
        <v>8</v>
      </c>
      <c r="F463" s="8">
        <v>0.5</v>
      </c>
      <c r="G463" s="4">
        <v>32</v>
      </c>
      <c r="H463" s="8">
        <v>2.57</v>
      </c>
      <c r="I463" s="4">
        <v>0</v>
      </c>
    </row>
    <row r="464" spans="1:9" x14ac:dyDescent="0.2">
      <c r="A464" s="2">
        <v>20</v>
      </c>
      <c r="B464" s="1" t="s">
        <v>108</v>
      </c>
      <c r="C464" s="4">
        <v>40</v>
      </c>
      <c r="D464" s="8">
        <v>1.4</v>
      </c>
      <c r="E464" s="4">
        <v>11</v>
      </c>
      <c r="F464" s="8">
        <v>0.69</v>
      </c>
      <c r="G464" s="4">
        <v>29</v>
      </c>
      <c r="H464" s="8">
        <v>2.33</v>
      </c>
      <c r="I464" s="4">
        <v>0</v>
      </c>
    </row>
    <row r="465" spans="1:9" x14ac:dyDescent="0.2">
      <c r="A465" s="1"/>
      <c r="C465" s="4"/>
      <c r="D465" s="8"/>
      <c r="E465" s="4"/>
      <c r="F465" s="8"/>
      <c r="G465" s="4"/>
      <c r="H465" s="8"/>
      <c r="I465" s="4"/>
    </row>
    <row r="466" spans="1:9" x14ac:dyDescent="0.2">
      <c r="A466" s="1" t="s">
        <v>21</v>
      </c>
      <c r="C466" s="4"/>
      <c r="D466" s="8"/>
      <c r="E466" s="4"/>
      <c r="F466" s="8"/>
      <c r="G466" s="4"/>
      <c r="H466" s="8"/>
      <c r="I466" s="4"/>
    </row>
    <row r="467" spans="1:9" x14ac:dyDescent="0.2">
      <c r="A467" s="2">
        <v>1</v>
      </c>
      <c r="B467" s="1" t="s">
        <v>113</v>
      </c>
      <c r="C467" s="4">
        <v>175</v>
      </c>
      <c r="D467" s="8">
        <v>13.99</v>
      </c>
      <c r="E467" s="4">
        <v>161</v>
      </c>
      <c r="F467" s="8">
        <v>20.23</v>
      </c>
      <c r="G467" s="4">
        <v>14</v>
      </c>
      <c r="H467" s="8">
        <v>3.15</v>
      </c>
      <c r="I467" s="4">
        <v>0</v>
      </c>
    </row>
    <row r="468" spans="1:9" x14ac:dyDescent="0.2">
      <c r="A468" s="2">
        <v>2</v>
      </c>
      <c r="B468" s="1" t="s">
        <v>112</v>
      </c>
      <c r="C468" s="4">
        <v>169</v>
      </c>
      <c r="D468" s="8">
        <v>13.51</v>
      </c>
      <c r="E468" s="4">
        <v>164</v>
      </c>
      <c r="F468" s="8">
        <v>20.6</v>
      </c>
      <c r="G468" s="4">
        <v>5</v>
      </c>
      <c r="H468" s="8">
        <v>1.1299999999999999</v>
      </c>
      <c r="I468" s="4">
        <v>0</v>
      </c>
    </row>
    <row r="469" spans="1:9" x14ac:dyDescent="0.2">
      <c r="A469" s="2">
        <v>3</v>
      </c>
      <c r="B469" s="1" t="s">
        <v>107</v>
      </c>
      <c r="C469" s="4">
        <v>119</v>
      </c>
      <c r="D469" s="8">
        <v>9.51</v>
      </c>
      <c r="E469" s="4">
        <v>72</v>
      </c>
      <c r="F469" s="8">
        <v>9.0500000000000007</v>
      </c>
      <c r="G469" s="4">
        <v>47</v>
      </c>
      <c r="H469" s="8">
        <v>10.59</v>
      </c>
      <c r="I469" s="4">
        <v>0</v>
      </c>
    </row>
    <row r="470" spans="1:9" x14ac:dyDescent="0.2">
      <c r="A470" s="2">
        <v>4</v>
      </c>
      <c r="B470" s="1" t="s">
        <v>105</v>
      </c>
      <c r="C470" s="4">
        <v>100</v>
      </c>
      <c r="D470" s="8">
        <v>7.99</v>
      </c>
      <c r="E470" s="4">
        <v>73</v>
      </c>
      <c r="F470" s="8">
        <v>9.17</v>
      </c>
      <c r="G470" s="4">
        <v>27</v>
      </c>
      <c r="H470" s="8">
        <v>6.08</v>
      </c>
      <c r="I470" s="4">
        <v>0</v>
      </c>
    </row>
    <row r="471" spans="1:9" x14ac:dyDescent="0.2">
      <c r="A471" s="2">
        <v>5</v>
      </c>
      <c r="B471" s="1" t="s">
        <v>98</v>
      </c>
      <c r="C471" s="4">
        <v>72</v>
      </c>
      <c r="D471" s="8">
        <v>5.76</v>
      </c>
      <c r="E471" s="4">
        <v>18</v>
      </c>
      <c r="F471" s="8">
        <v>2.2599999999999998</v>
      </c>
      <c r="G471" s="4">
        <v>54</v>
      </c>
      <c r="H471" s="8">
        <v>12.16</v>
      </c>
      <c r="I471" s="4">
        <v>0</v>
      </c>
    </row>
    <row r="472" spans="1:9" x14ac:dyDescent="0.2">
      <c r="A472" s="2">
        <v>6</v>
      </c>
      <c r="B472" s="1" t="s">
        <v>106</v>
      </c>
      <c r="C472" s="4">
        <v>45</v>
      </c>
      <c r="D472" s="8">
        <v>3.6</v>
      </c>
      <c r="E472" s="4">
        <v>31</v>
      </c>
      <c r="F472" s="8">
        <v>3.89</v>
      </c>
      <c r="G472" s="4">
        <v>14</v>
      </c>
      <c r="H472" s="8">
        <v>3.15</v>
      </c>
      <c r="I472" s="4">
        <v>0</v>
      </c>
    </row>
    <row r="473" spans="1:9" x14ac:dyDescent="0.2">
      <c r="A473" s="2">
        <v>7</v>
      </c>
      <c r="B473" s="1" t="s">
        <v>115</v>
      </c>
      <c r="C473" s="4">
        <v>44</v>
      </c>
      <c r="D473" s="8">
        <v>3.52</v>
      </c>
      <c r="E473" s="4">
        <v>35</v>
      </c>
      <c r="F473" s="8">
        <v>4.4000000000000004</v>
      </c>
      <c r="G473" s="4">
        <v>9</v>
      </c>
      <c r="H473" s="8">
        <v>2.0299999999999998</v>
      </c>
      <c r="I473" s="4">
        <v>0</v>
      </c>
    </row>
    <row r="474" spans="1:9" x14ac:dyDescent="0.2">
      <c r="A474" s="2">
        <v>8</v>
      </c>
      <c r="B474" s="1" t="s">
        <v>109</v>
      </c>
      <c r="C474" s="4">
        <v>43</v>
      </c>
      <c r="D474" s="8">
        <v>3.44</v>
      </c>
      <c r="E474" s="4">
        <v>14</v>
      </c>
      <c r="F474" s="8">
        <v>1.76</v>
      </c>
      <c r="G474" s="4">
        <v>29</v>
      </c>
      <c r="H474" s="8">
        <v>6.53</v>
      </c>
      <c r="I474" s="4">
        <v>0</v>
      </c>
    </row>
    <row r="475" spans="1:9" x14ac:dyDescent="0.2">
      <c r="A475" s="2">
        <v>9</v>
      </c>
      <c r="B475" s="1" t="s">
        <v>104</v>
      </c>
      <c r="C475" s="4">
        <v>37</v>
      </c>
      <c r="D475" s="8">
        <v>2.96</v>
      </c>
      <c r="E475" s="4">
        <v>26</v>
      </c>
      <c r="F475" s="8">
        <v>3.27</v>
      </c>
      <c r="G475" s="4">
        <v>11</v>
      </c>
      <c r="H475" s="8">
        <v>2.48</v>
      </c>
      <c r="I475" s="4">
        <v>0</v>
      </c>
    </row>
    <row r="476" spans="1:9" x14ac:dyDescent="0.2">
      <c r="A476" s="2">
        <v>10</v>
      </c>
      <c r="B476" s="1" t="s">
        <v>116</v>
      </c>
      <c r="C476" s="4">
        <v>36</v>
      </c>
      <c r="D476" s="8">
        <v>2.88</v>
      </c>
      <c r="E476" s="4">
        <v>0</v>
      </c>
      <c r="F476" s="8">
        <v>0</v>
      </c>
      <c r="G476" s="4">
        <v>29</v>
      </c>
      <c r="H476" s="8">
        <v>6.53</v>
      </c>
      <c r="I476" s="4">
        <v>1</v>
      </c>
    </row>
    <row r="477" spans="1:9" x14ac:dyDescent="0.2">
      <c r="A477" s="2">
        <v>11</v>
      </c>
      <c r="B477" s="1" t="s">
        <v>114</v>
      </c>
      <c r="C477" s="4">
        <v>35</v>
      </c>
      <c r="D477" s="8">
        <v>2.8</v>
      </c>
      <c r="E477" s="4">
        <v>28</v>
      </c>
      <c r="F477" s="8">
        <v>3.52</v>
      </c>
      <c r="G477" s="4">
        <v>7</v>
      </c>
      <c r="H477" s="8">
        <v>1.58</v>
      </c>
      <c r="I477" s="4">
        <v>0</v>
      </c>
    </row>
    <row r="478" spans="1:9" x14ac:dyDescent="0.2">
      <c r="A478" s="2">
        <v>12</v>
      </c>
      <c r="B478" s="1" t="s">
        <v>99</v>
      </c>
      <c r="C478" s="4">
        <v>34</v>
      </c>
      <c r="D478" s="8">
        <v>2.72</v>
      </c>
      <c r="E478" s="4">
        <v>13</v>
      </c>
      <c r="F478" s="8">
        <v>1.63</v>
      </c>
      <c r="G478" s="4">
        <v>21</v>
      </c>
      <c r="H478" s="8">
        <v>4.7300000000000004</v>
      </c>
      <c r="I478" s="4">
        <v>0</v>
      </c>
    </row>
    <row r="479" spans="1:9" x14ac:dyDescent="0.2">
      <c r="A479" s="2">
        <v>13</v>
      </c>
      <c r="B479" s="1" t="s">
        <v>123</v>
      </c>
      <c r="C479" s="4">
        <v>31</v>
      </c>
      <c r="D479" s="8">
        <v>2.48</v>
      </c>
      <c r="E479" s="4">
        <v>25</v>
      </c>
      <c r="F479" s="8">
        <v>3.14</v>
      </c>
      <c r="G479" s="4">
        <v>6</v>
      </c>
      <c r="H479" s="8">
        <v>1.35</v>
      </c>
      <c r="I479" s="4">
        <v>0</v>
      </c>
    </row>
    <row r="480" spans="1:9" x14ac:dyDescent="0.2">
      <c r="A480" s="2">
        <v>14</v>
      </c>
      <c r="B480" s="1" t="s">
        <v>110</v>
      </c>
      <c r="C480" s="4">
        <v>30</v>
      </c>
      <c r="D480" s="8">
        <v>2.4</v>
      </c>
      <c r="E480" s="4">
        <v>20</v>
      </c>
      <c r="F480" s="8">
        <v>2.5099999999999998</v>
      </c>
      <c r="G480" s="4">
        <v>10</v>
      </c>
      <c r="H480" s="8">
        <v>2.25</v>
      </c>
      <c r="I480" s="4">
        <v>0</v>
      </c>
    </row>
    <row r="481" spans="1:9" x14ac:dyDescent="0.2">
      <c r="A481" s="2">
        <v>15</v>
      </c>
      <c r="B481" s="1" t="s">
        <v>100</v>
      </c>
      <c r="C481" s="4">
        <v>25</v>
      </c>
      <c r="D481" s="8">
        <v>2</v>
      </c>
      <c r="E481" s="4">
        <v>8</v>
      </c>
      <c r="F481" s="8">
        <v>1.01</v>
      </c>
      <c r="G481" s="4">
        <v>17</v>
      </c>
      <c r="H481" s="8">
        <v>3.83</v>
      </c>
      <c r="I481" s="4">
        <v>0</v>
      </c>
    </row>
    <row r="482" spans="1:9" x14ac:dyDescent="0.2">
      <c r="A482" s="2">
        <v>15</v>
      </c>
      <c r="B482" s="1" t="s">
        <v>111</v>
      </c>
      <c r="C482" s="4">
        <v>25</v>
      </c>
      <c r="D482" s="8">
        <v>2</v>
      </c>
      <c r="E482" s="4">
        <v>12</v>
      </c>
      <c r="F482" s="8">
        <v>1.51</v>
      </c>
      <c r="G482" s="4">
        <v>12</v>
      </c>
      <c r="H482" s="8">
        <v>2.7</v>
      </c>
      <c r="I482" s="4">
        <v>0</v>
      </c>
    </row>
    <row r="483" spans="1:9" x14ac:dyDescent="0.2">
      <c r="A483" s="2">
        <v>17</v>
      </c>
      <c r="B483" s="1" t="s">
        <v>118</v>
      </c>
      <c r="C483" s="4">
        <v>20</v>
      </c>
      <c r="D483" s="8">
        <v>1.6</v>
      </c>
      <c r="E483" s="4">
        <v>10</v>
      </c>
      <c r="F483" s="8">
        <v>1.26</v>
      </c>
      <c r="G483" s="4">
        <v>10</v>
      </c>
      <c r="H483" s="8">
        <v>2.25</v>
      </c>
      <c r="I483" s="4">
        <v>0</v>
      </c>
    </row>
    <row r="484" spans="1:9" x14ac:dyDescent="0.2">
      <c r="A484" s="2">
        <v>18</v>
      </c>
      <c r="B484" s="1" t="s">
        <v>121</v>
      </c>
      <c r="C484" s="4">
        <v>16</v>
      </c>
      <c r="D484" s="8">
        <v>1.28</v>
      </c>
      <c r="E484" s="4">
        <v>10</v>
      </c>
      <c r="F484" s="8">
        <v>1.26</v>
      </c>
      <c r="G484" s="4">
        <v>6</v>
      </c>
      <c r="H484" s="8">
        <v>1.35</v>
      </c>
      <c r="I484" s="4">
        <v>0</v>
      </c>
    </row>
    <row r="485" spans="1:9" x14ac:dyDescent="0.2">
      <c r="A485" s="2">
        <v>19</v>
      </c>
      <c r="B485" s="1" t="s">
        <v>103</v>
      </c>
      <c r="C485" s="4">
        <v>14</v>
      </c>
      <c r="D485" s="8">
        <v>1.1200000000000001</v>
      </c>
      <c r="E485" s="4">
        <v>6</v>
      </c>
      <c r="F485" s="8">
        <v>0.75</v>
      </c>
      <c r="G485" s="4">
        <v>8</v>
      </c>
      <c r="H485" s="8">
        <v>1.8</v>
      </c>
      <c r="I485" s="4">
        <v>0</v>
      </c>
    </row>
    <row r="486" spans="1:9" x14ac:dyDescent="0.2">
      <c r="A486" s="2">
        <v>20</v>
      </c>
      <c r="B486" s="1" t="s">
        <v>117</v>
      </c>
      <c r="C486" s="4">
        <v>13</v>
      </c>
      <c r="D486" s="8">
        <v>1.04</v>
      </c>
      <c r="E486" s="4">
        <v>3</v>
      </c>
      <c r="F486" s="8">
        <v>0.38</v>
      </c>
      <c r="G486" s="4">
        <v>9</v>
      </c>
      <c r="H486" s="8">
        <v>2.0299999999999998</v>
      </c>
      <c r="I486" s="4">
        <v>1</v>
      </c>
    </row>
    <row r="487" spans="1:9" x14ac:dyDescent="0.2">
      <c r="A487" s="1"/>
      <c r="C487" s="4"/>
      <c r="D487" s="8"/>
      <c r="E487" s="4"/>
      <c r="F487" s="8"/>
      <c r="G487" s="4"/>
      <c r="H487" s="8"/>
      <c r="I487" s="4"/>
    </row>
    <row r="488" spans="1:9" x14ac:dyDescent="0.2">
      <c r="A488" s="1" t="s">
        <v>22</v>
      </c>
      <c r="C488" s="4"/>
      <c r="D488" s="8"/>
      <c r="E488" s="4"/>
      <c r="F488" s="8"/>
      <c r="G488" s="4"/>
      <c r="H488" s="8"/>
      <c r="I488" s="4"/>
    </row>
    <row r="489" spans="1:9" x14ac:dyDescent="0.2">
      <c r="A489" s="2">
        <v>1</v>
      </c>
      <c r="B489" s="1" t="s">
        <v>113</v>
      </c>
      <c r="C489" s="4">
        <v>167</v>
      </c>
      <c r="D489" s="8">
        <v>10.1</v>
      </c>
      <c r="E489" s="4">
        <v>152</v>
      </c>
      <c r="F489" s="8">
        <v>14.37</v>
      </c>
      <c r="G489" s="4">
        <v>15</v>
      </c>
      <c r="H489" s="8">
        <v>2.65</v>
      </c>
      <c r="I489" s="4">
        <v>0</v>
      </c>
    </row>
    <row r="490" spans="1:9" x14ac:dyDescent="0.2">
      <c r="A490" s="2">
        <v>2</v>
      </c>
      <c r="B490" s="1" t="s">
        <v>107</v>
      </c>
      <c r="C490" s="4">
        <v>138</v>
      </c>
      <c r="D490" s="8">
        <v>8.34</v>
      </c>
      <c r="E490" s="4">
        <v>84</v>
      </c>
      <c r="F490" s="8">
        <v>7.94</v>
      </c>
      <c r="G490" s="4">
        <v>54</v>
      </c>
      <c r="H490" s="8">
        <v>9.52</v>
      </c>
      <c r="I490" s="4">
        <v>0</v>
      </c>
    </row>
    <row r="491" spans="1:9" x14ac:dyDescent="0.2">
      <c r="A491" s="2">
        <v>3</v>
      </c>
      <c r="B491" s="1" t="s">
        <v>105</v>
      </c>
      <c r="C491" s="4">
        <v>131</v>
      </c>
      <c r="D491" s="8">
        <v>7.92</v>
      </c>
      <c r="E491" s="4">
        <v>114</v>
      </c>
      <c r="F491" s="8">
        <v>10.78</v>
      </c>
      <c r="G491" s="4">
        <v>17</v>
      </c>
      <c r="H491" s="8">
        <v>3</v>
      </c>
      <c r="I491" s="4">
        <v>0</v>
      </c>
    </row>
    <row r="492" spans="1:9" x14ac:dyDescent="0.2">
      <c r="A492" s="2">
        <v>4</v>
      </c>
      <c r="B492" s="1" t="s">
        <v>112</v>
      </c>
      <c r="C492" s="4">
        <v>126</v>
      </c>
      <c r="D492" s="8">
        <v>7.62</v>
      </c>
      <c r="E492" s="4">
        <v>113</v>
      </c>
      <c r="F492" s="8">
        <v>10.68</v>
      </c>
      <c r="G492" s="4">
        <v>13</v>
      </c>
      <c r="H492" s="8">
        <v>2.29</v>
      </c>
      <c r="I492" s="4">
        <v>0</v>
      </c>
    </row>
    <row r="493" spans="1:9" x14ac:dyDescent="0.2">
      <c r="A493" s="2">
        <v>5</v>
      </c>
      <c r="B493" s="1" t="s">
        <v>98</v>
      </c>
      <c r="C493" s="4">
        <v>115</v>
      </c>
      <c r="D493" s="8">
        <v>6.95</v>
      </c>
      <c r="E493" s="4">
        <v>40</v>
      </c>
      <c r="F493" s="8">
        <v>3.78</v>
      </c>
      <c r="G493" s="4">
        <v>75</v>
      </c>
      <c r="H493" s="8">
        <v>13.23</v>
      </c>
      <c r="I493" s="4">
        <v>0</v>
      </c>
    </row>
    <row r="494" spans="1:9" x14ac:dyDescent="0.2">
      <c r="A494" s="2">
        <v>6</v>
      </c>
      <c r="B494" s="1" t="s">
        <v>109</v>
      </c>
      <c r="C494" s="4">
        <v>86</v>
      </c>
      <c r="D494" s="8">
        <v>5.2</v>
      </c>
      <c r="E494" s="4">
        <v>50</v>
      </c>
      <c r="F494" s="8">
        <v>4.7300000000000004</v>
      </c>
      <c r="G494" s="4">
        <v>36</v>
      </c>
      <c r="H494" s="8">
        <v>6.35</v>
      </c>
      <c r="I494" s="4">
        <v>0</v>
      </c>
    </row>
    <row r="495" spans="1:9" x14ac:dyDescent="0.2">
      <c r="A495" s="2">
        <v>7</v>
      </c>
      <c r="B495" s="1" t="s">
        <v>115</v>
      </c>
      <c r="C495" s="4">
        <v>70</v>
      </c>
      <c r="D495" s="8">
        <v>4.2300000000000004</v>
      </c>
      <c r="E495" s="4">
        <v>65</v>
      </c>
      <c r="F495" s="8">
        <v>6.14</v>
      </c>
      <c r="G495" s="4">
        <v>5</v>
      </c>
      <c r="H495" s="8">
        <v>0.88</v>
      </c>
      <c r="I495" s="4">
        <v>0</v>
      </c>
    </row>
    <row r="496" spans="1:9" x14ac:dyDescent="0.2">
      <c r="A496" s="2">
        <v>8</v>
      </c>
      <c r="B496" s="1" t="s">
        <v>106</v>
      </c>
      <c r="C496" s="4">
        <v>68</v>
      </c>
      <c r="D496" s="8">
        <v>4.1100000000000003</v>
      </c>
      <c r="E496" s="4">
        <v>51</v>
      </c>
      <c r="F496" s="8">
        <v>4.82</v>
      </c>
      <c r="G496" s="4">
        <v>17</v>
      </c>
      <c r="H496" s="8">
        <v>3</v>
      </c>
      <c r="I496" s="4">
        <v>0</v>
      </c>
    </row>
    <row r="497" spans="1:9" x14ac:dyDescent="0.2">
      <c r="A497" s="2">
        <v>9</v>
      </c>
      <c r="B497" s="1" t="s">
        <v>99</v>
      </c>
      <c r="C497" s="4">
        <v>63</v>
      </c>
      <c r="D497" s="8">
        <v>3.81</v>
      </c>
      <c r="E497" s="4">
        <v>44</v>
      </c>
      <c r="F497" s="8">
        <v>4.16</v>
      </c>
      <c r="G497" s="4">
        <v>19</v>
      </c>
      <c r="H497" s="8">
        <v>3.35</v>
      </c>
      <c r="I497" s="4">
        <v>0</v>
      </c>
    </row>
    <row r="498" spans="1:9" x14ac:dyDescent="0.2">
      <c r="A498" s="2">
        <v>10</v>
      </c>
      <c r="B498" s="1" t="s">
        <v>114</v>
      </c>
      <c r="C498" s="4">
        <v>49</v>
      </c>
      <c r="D498" s="8">
        <v>2.96</v>
      </c>
      <c r="E498" s="4">
        <v>23</v>
      </c>
      <c r="F498" s="8">
        <v>2.17</v>
      </c>
      <c r="G498" s="4">
        <v>5</v>
      </c>
      <c r="H498" s="8">
        <v>0.88</v>
      </c>
      <c r="I498" s="4">
        <v>0</v>
      </c>
    </row>
    <row r="499" spans="1:9" x14ac:dyDescent="0.2">
      <c r="A499" s="2">
        <v>11</v>
      </c>
      <c r="B499" s="1" t="s">
        <v>100</v>
      </c>
      <c r="C499" s="4">
        <v>45</v>
      </c>
      <c r="D499" s="8">
        <v>2.72</v>
      </c>
      <c r="E499" s="4">
        <v>22</v>
      </c>
      <c r="F499" s="8">
        <v>2.08</v>
      </c>
      <c r="G499" s="4">
        <v>23</v>
      </c>
      <c r="H499" s="8">
        <v>4.0599999999999996</v>
      </c>
      <c r="I499" s="4">
        <v>0</v>
      </c>
    </row>
    <row r="500" spans="1:9" x14ac:dyDescent="0.2">
      <c r="A500" s="2">
        <v>12</v>
      </c>
      <c r="B500" s="1" t="s">
        <v>104</v>
      </c>
      <c r="C500" s="4">
        <v>43</v>
      </c>
      <c r="D500" s="8">
        <v>2.6</v>
      </c>
      <c r="E500" s="4">
        <v>31</v>
      </c>
      <c r="F500" s="8">
        <v>2.93</v>
      </c>
      <c r="G500" s="4">
        <v>12</v>
      </c>
      <c r="H500" s="8">
        <v>2.12</v>
      </c>
      <c r="I500" s="4">
        <v>0</v>
      </c>
    </row>
    <row r="501" spans="1:9" x14ac:dyDescent="0.2">
      <c r="A501" s="2">
        <v>13</v>
      </c>
      <c r="B501" s="1" t="s">
        <v>131</v>
      </c>
      <c r="C501" s="4">
        <v>42</v>
      </c>
      <c r="D501" s="8">
        <v>2.54</v>
      </c>
      <c r="E501" s="4">
        <v>30</v>
      </c>
      <c r="F501" s="8">
        <v>2.84</v>
      </c>
      <c r="G501" s="4">
        <v>12</v>
      </c>
      <c r="H501" s="8">
        <v>2.12</v>
      </c>
      <c r="I501" s="4">
        <v>0</v>
      </c>
    </row>
    <row r="502" spans="1:9" x14ac:dyDescent="0.2">
      <c r="A502" s="2">
        <v>14</v>
      </c>
      <c r="B502" s="1" t="s">
        <v>132</v>
      </c>
      <c r="C502" s="4">
        <v>41</v>
      </c>
      <c r="D502" s="8">
        <v>2.48</v>
      </c>
      <c r="E502" s="4">
        <v>34</v>
      </c>
      <c r="F502" s="8">
        <v>3.21</v>
      </c>
      <c r="G502" s="4">
        <v>7</v>
      </c>
      <c r="H502" s="8">
        <v>1.23</v>
      </c>
      <c r="I502" s="4">
        <v>0</v>
      </c>
    </row>
    <row r="503" spans="1:9" x14ac:dyDescent="0.2">
      <c r="A503" s="2">
        <v>15</v>
      </c>
      <c r="B503" s="1" t="s">
        <v>111</v>
      </c>
      <c r="C503" s="4">
        <v>37</v>
      </c>
      <c r="D503" s="8">
        <v>2.2400000000000002</v>
      </c>
      <c r="E503" s="4">
        <v>14</v>
      </c>
      <c r="F503" s="8">
        <v>1.32</v>
      </c>
      <c r="G503" s="4">
        <v>23</v>
      </c>
      <c r="H503" s="8">
        <v>4.0599999999999996</v>
      </c>
      <c r="I503" s="4">
        <v>0</v>
      </c>
    </row>
    <row r="504" spans="1:9" x14ac:dyDescent="0.2">
      <c r="A504" s="2">
        <v>16</v>
      </c>
      <c r="B504" s="1" t="s">
        <v>110</v>
      </c>
      <c r="C504" s="4">
        <v>33</v>
      </c>
      <c r="D504" s="8">
        <v>2</v>
      </c>
      <c r="E504" s="4">
        <v>22</v>
      </c>
      <c r="F504" s="8">
        <v>2.08</v>
      </c>
      <c r="G504" s="4">
        <v>11</v>
      </c>
      <c r="H504" s="8">
        <v>1.94</v>
      </c>
      <c r="I504" s="4">
        <v>0</v>
      </c>
    </row>
    <row r="505" spans="1:9" x14ac:dyDescent="0.2">
      <c r="A505" s="2">
        <v>17</v>
      </c>
      <c r="B505" s="1" t="s">
        <v>123</v>
      </c>
      <c r="C505" s="4">
        <v>31</v>
      </c>
      <c r="D505" s="8">
        <v>1.87</v>
      </c>
      <c r="E505" s="4">
        <v>29</v>
      </c>
      <c r="F505" s="8">
        <v>2.74</v>
      </c>
      <c r="G505" s="4">
        <v>2</v>
      </c>
      <c r="H505" s="8">
        <v>0.35</v>
      </c>
      <c r="I505" s="4">
        <v>0</v>
      </c>
    </row>
    <row r="506" spans="1:9" x14ac:dyDescent="0.2">
      <c r="A506" s="2">
        <v>18</v>
      </c>
      <c r="B506" s="1" t="s">
        <v>124</v>
      </c>
      <c r="C506" s="4">
        <v>27</v>
      </c>
      <c r="D506" s="8">
        <v>1.63</v>
      </c>
      <c r="E506" s="4">
        <v>14</v>
      </c>
      <c r="F506" s="8">
        <v>1.32</v>
      </c>
      <c r="G506" s="4">
        <v>13</v>
      </c>
      <c r="H506" s="8">
        <v>2.29</v>
      </c>
      <c r="I506" s="4">
        <v>0</v>
      </c>
    </row>
    <row r="507" spans="1:9" x14ac:dyDescent="0.2">
      <c r="A507" s="2">
        <v>19</v>
      </c>
      <c r="B507" s="1" t="s">
        <v>130</v>
      </c>
      <c r="C507" s="4">
        <v>23</v>
      </c>
      <c r="D507" s="8">
        <v>1.39</v>
      </c>
      <c r="E507" s="4">
        <v>7</v>
      </c>
      <c r="F507" s="8">
        <v>0.66</v>
      </c>
      <c r="G507" s="4">
        <v>16</v>
      </c>
      <c r="H507" s="8">
        <v>2.82</v>
      </c>
      <c r="I507" s="4">
        <v>0</v>
      </c>
    </row>
    <row r="508" spans="1:9" x14ac:dyDescent="0.2">
      <c r="A508" s="2">
        <v>20</v>
      </c>
      <c r="B508" s="1" t="s">
        <v>119</v>
      </c>
      <c r="C508" s="4">
        <v>22</v>
      </c>
      <c r="D508" s="8">
        <v>1.33</v>
      </c>
      <c r="E508" s="4">
        <v>12</v>
      </c>
      <c r="F508" s="8">
        <v>1.1299999999999999</v>
      </c>
      <c r="G508" s="4">
        <v>10</v>
      </c>
      <c r="H508" s="8">
        <v>1.76</v>
      </c>
      <c r="I508" s="4">
        <v>0</v>
      </c>
    </row>
    <row r="509" spans="1:9" x14ac:dyDescent="0.2">
      <c r="A509" s="2">
        <v>20</v>
      </c>
      <c r="B509" s="1" t="s">
        <v>101</v>
      </c>
      <c r="C509" s="4">
        <v>22</v>
      </c>
      <c r="D509" s="8">
        <v>1.33</v>
      </c>
      <c r="E509" s="4">
        <v>6</v>
      </c>
      <c r="F509" s="8">
        <v>0.56999999999999995</v>
      </c>
      <c r="G509" s="4">
        <v>16</v>
      </c>
      <c r="H509" s="8">
        <v>2.82</v>
      </c>
      <c r="I509" s="4">
        <v>0</v>
      </c>
    </row>
    <row r="510" spans="1:9" x14ac:dyDescent="0.2">
      <c r="A510" s="1"/>
      <c r="C510" s="4"/>
      <c r="D510" s="8"/>
      <c r="E510" s="4"/>
      <c r="F510" s="8"/>
      <c r="G510" s="4"/>
      <c r="H510" s="8"/>
      <c r="I510" s="4"/>
    </row>
    <row r="511" spans="1:9" x14ac:dyDescent="0.2">
      <c r="A511" s="1" t="s">
        <v>23</v>
      </c>
      <c r="C511" s="4"/>
      <c r="D511" s="8"/>
      <c r="E511" s="4"/>
      <c r="F511" s="8"/>
      <c r="G511" s="4"/>
      <c r="H511" s="8"/>
      <c r="I511" s="4"/>
    </row>
    <row r="512" spans="1:9" x14ac:dyDescent="0.2">
      <c r="A512" s="2">
        <v>1</v>
      </c>
      <c r="B512" s="1" t="s">
        <v>113</v>
      </c>
      <c r="C512" s="4">
        <v>179</v>
      </c>
      <c r="D512" s="8">
        <v>9.9600000000000009</v>
      </c>
      <c r="E512" s="4">
        <v>160</v>
      </c>
      <c r="F512" s="8">
        <v>13.21</v>
      </c>
      <c r="G512" s="4">
        <v>19</v>
      </c>
      <c r="H512" s="8">
        <v>3.45</v>
      </c>
      <c r="I512" s="4">
        <v>0</v>
      </c>
    </row>
    <row r="513" spans="1:9" x14ac:dyDescent="0.2">
      <c r="A513" s="2">
        <v>2</v>
      </c>
      <c r="B513" s="1" t="s">
        <v>112</v>
      </c>
      <c r="C513" s="4">
        <v>160</v>
      </c>
      <c r="D513" s="8">
        <v>8.9</v>
      </c>
      <c r="E513" s="4">
        <v>150</v>
      </c>
      <c r="F513" s="8">
        <v>12.39</v>
      </c>
      <c r="G513" s="4">
        <v>10</v>
      </c>
      <c r="H513" s="8">
        <v>1.82</v>
      </c>
      <c r="I513" s="4">
        <v>0</v>
      </c>
    </row>
    <row r="514" spans="1:9" x14ac:dyDescent="0.2">
      <c r="A514" s="2">
        <v>3</v>
      </c>
      <c r="B514" s="1" t="s">
        <v>98</v>
      </c>
      <c r="C514" s="4">
        <v>152</v>
      </c>
      <c r="D514" s="8">
        <v>8.4499999999999993</v>
      </c>
      <c r="E514" s="4">
        <v>88</v>
      </c>
      <c r="F514" s="8">
        <v>7.27</v>
      </c>
      <c r="G514" s="4">
        <v>64</v>
      </c>
      <c r="H514" s="8">
        <v>11.64</v>
      </c>
      <c r="I514" s="4">
        <v>0</v>
      </c>
    </row>
    <row r="515" spans="1:9" x14ac:dyDescent="0.2">
      <c r="A515" s="2">
        <v>4</v>
      </c>
      <c r="B515" s="1" t="s">
        <v>107</v>
      </c>
      <c r="C515" s="4">
        <v>139</v>
      </c>
      <c r="D515" s="8">
        <v>7.73</v>
      </c>
      <c r="E515" s="4">
        <v>93</v>
      </c>
      <c r="F515" s="8">
        <v>7.68</v>
      </c>
      <c r="G515" s="4">
        <v>46</v>
      </c>
      <c r="H515" s="8">
        <v>8.36</v>
      </c>
      <c r="I515" s="4">
        <v>0</v>
      </c>
    </row>
    <row r="516" spans="1:9" x14ac:dyDescent="0.2">
      <c r="A516" s="2">
        <v>5</v>
      </c>
      <c r="B516" s="1" t="s">
        <v>105</v>
      </c>
      <c r="C516" s="4">
        <v>132</v>
      </c>
      <c r="D516" s="8">
        <v>7.34</v>
      </c>
      <c r="E516" s="4">
        <v>99</v>
      </c>
      <c r="F516" s="8">
        <v>8.18</v>
      </c>
      <c r="G516" s="4">
        <v>33</v>
      </c>
      <c r="H516" s="8">
        <v>6</v>
      </c>
      <c r="I516" s="4">
        <v>0</v>
      </c>
    </row>
    <row r="517" spans="1:9" x14ac:dyDescent="0.2">
      <c r="A517" s="2">
        <v>6</v>
      </c>
      <c r="B517" s="1" t="s">
        <v>99</v>
      </c>
      <c r="C517" s="4">
        <v>103</v>
      </c>
      <c r="D517" s="8">
        <v>5.73</v>
      </c>
      <c r="E517" s="4">
        <v>84</v>
      </c>
      <c r="F517" s="8">
        <v>6.94</v>
      </c>
      <c r="G517" s="4">
        <v>19</v>
      </c>
      <c r="H517" s="8">
        <v>3.45</v>
      </c>
      <c r="I517" s="4">
        <v>0</v>
      </c>
    </row>
    <row r="518" spans="1:9" x14ac:dyDescent="0.2">
      <c r="A518" s="2">
        <v>7</v>
      </c>
      <c r="B518" s="1" t="s">
        <v>123</v>
      </c>
      <c r="C518" s="4">
        <v>70</v>
      </c>
      <c r="D518" s="8">
        <v>3.89</v>
      </c>
      <c r="E518" s="4">
        <v>63</v>
      </c>
      <c r="F518" s="8">
        <v>5.2</v>
      </c>
      <c r="G518" s="4">
        <v>7</v>
      </c>
      <c r="H518" s="8">
        <v>1.27</v>
      </c>
      <c r="I518" s="4">
        <v>0</v>
      </c>
    </row>
    <row r="519" spans="1:9" x14ac:dyDescent="0.2">
      <c r="A519" s="2">
        <v>8</v>
      </c>
      <c r="B519" s="1" t="s">
        <v>133</v>
      </c>
      <c r="C519" s="4">
        <v>63</v>
      </c>
      <c r="D519" s="8">
        <v>3.5</v>
      </c>
      <c r="E519" s="4">
        <v>33</v>
      </c>
      <c r="F519" s="8">
        <v>2.73</v>
      </c>
      <c r="G519" s="4">
        <v>19</v>
      </c>
      <c r="H519" s="8">
        <v>3.45</v>
      </c>
      <c r="I519" s="4">
        <v>11</v>
      </c>
    </row>
    <row r="520" spans="1:9" x14ac:dyDescent="0.2">
      <c r="A520" s="2">
        <v>9</v>
      </c>
      <c r="B520" s="1" t="s">
        <v>100</v>
      </c>
      <c r="C520" s="4">
        <v>58</v>
      </c>
      <c r="D520" s="8">
        <v>3.23</v>
      </c>
      <c r="E520" s="4">
        <v>32</v>
      </c>
      <c r="F520" s="8">
        <v>2.64</v>
      </c>
      <c r="G520" s="4">
        <v>26</v>
      </c>
      <c r="H520" s="8">
        <v>4.7300000000000004</v>
      </c>
      <c r="I520" s="4">
        <v>0</v>
      </c>
    </row>
    <row r="521" spans="1:9" x14ac:dyDescent="0.2">
      <c r="A521" s="2">
        <v>10</v>
      </c>
      <c r="B521" s="1" t="s">
        <v>106</v>
      </c>
      <c r="C521" s="4">
        <v>56</v>
      </c>
      <c r="D521" s="8">
        <v>3.11</v>
      </c>
      <c r="E521" s="4">
        <v>40</v>
      </c>
      <c r="F521" s="8">
        <v>3.3</v>
      </c>
      <c r="G521" s="4">
        <v>16</v>
      </c>
      <c r="H521" s="8">
        <v>2.91</v>
      </c>
      <c r="I521" s="4">
        <v>0</v>
      </c>
    </row>
    <row r="522" spans="1:9" x14ac:dyDescent="0.2">
      <c r="A522" s="2">
        <v>11</v>
      </c>
      <c r="B522" s="1" t="s">
        <v>109</v>
      </c>
      <c r="C522" s="4">
        <v>49</v>
      </c>
      <c r="D522" s="8">
        <v>2.73</v>
      </c>
      <c r="E522" s="4">
        <v>19</v>
      </c>
      <c r="F522" s="8">
        <v>1.57</v>
      </c>
      <c r="G522" s="4">
        <v>30</v>
      </c>
      <c r="H522" s="8">
        <v>5.45</v>
      </c>
      <c r="I522" s="4">
        <v>0</v>
      </c>
    </row>
    <row r="523" spans="1:9" x14ac:dyDescent="0.2">
      <c r="A523" s="2">
        <v>11</v>
      </c>
      <c r="B523" s="1" t="s">
        <v>115</v>
      </c>
      <c r="C523" s="4">
        <v>49</v>
      </c>
      <c r="D523" s="8">
        <v>2.73</v>
      </c>
      <c r="E523" s="4">
        <v>48</v>
      </c>
      <c r="F523" s="8">
        <v>3.96</v>
      </c>
      <c r="G523" s="4">
        <v>1</v>
      </c>
      <c r="H523" s="8">
        <v>0.18</v>
      </c>
      <c r="I523" s="4">
        <v>0</v>
      </c>
    </row>
    <row r="524" spans="1:9" x14ac:dyDescent="0.2">
      <c r="A524" s="2">
        <v>13</v>
      </c>
      <c r="B524" s="1" t="s">
        <v>104</v>
      </c>
      <c r="C524" s="4">
        <v>48</v>
      </c>
      <c r="D524" s="8">
        <v>2.67</v>
      </c>
      <c r="E524" s="4">
        <v>35</v>
      </c>
      <c r="F524" s="8">
        <v>2.89</v>
      </c>
      <c r="G524" s="4">
        <v>13</v>
      </c>
      <c r="H524" s="8">
        <v>2.36</v>
      </c>
      <c r="I524" s="4">
        <v>0</v>
      </c>
    </row>
    <row r="525" spans="1:9" x14ac:dyDescent="0.2">
      <c r="A525" s="2">
        <v>14</v>
      </c>
      <c r="B525" s="1" t="s">
        <v>130</v>
      </c>
      <c r="C525" s="4">
        <v>45</v>
      </c>
      <c r="D525" s="8">
        <v>2.5</v>
      </c>
      <c r="E525" s="4">
        <v>18</v>
      </c>
      <c r="F525" s="8">
        <v>1.49</v>
      </c>
      <c r="G525" s="4">
        <v>25</v>
      </c>
      <c r="H525" s="8">
        <v>4.55</v>
      </c>
      <c r="I525" s="4">
        <v>2</v>
      </c>
    </row>
    <row r="526" spans="1:9" x14ac:dyDescent="0.2">
      <c r="A526" s="2">
        <v>15</v>
      </c>
      <c r="B526" s="1" t="s">
        <v>114</v>
      </c>
      <c r="C526" s="4">
        <v>41</v>
      </c>
      <c r="D526" s="8">
        <v>2.2799999999999998</v>
      </c>
      <c r="E526" s="4">
        <v>21</v>
      </c>
      <c r="F526" s="8">
        <v>1.73</v>
      </c>
      <c r="G526" s="4">
        <v>6</v>
      </c>
      <c r="H526" s="8">
        <v>1.0900000000000001</v>
      </c>
      <c r="I526" s="4">
        <v>0</v>
      </c>
    </row>
    <row r="527" spans="1:9" x14ac:dyDescent="0.2">
      <c r="A527" s="2">
        <v>16</v>
      </c>
      <c r="B527" s="1" t="s">
        <v>132</v>
      </c>
      <c r="C527" s="4">
        <v>36</v>
      </c>
      <c r="D527" s="8">
        <v>2</v>
      </c>
      <c r="E527" s="4">
        <v>29</v>
      </c>
      <c r="F527" s="8">
        <v>2.39</v>
      </c>
      <c r="G527" s="4">
        <v>7</v>
      </c>
      <c r="H527" s="8">
        <v>1.27</v>
      </c>
      <c r="I527" s="4">
        <v>0</v>
      </c>
    </row>
    <row r="528" spans="1:9" x14ac:dyDescent="0.2">
      <c r="A528" s="2">
        <v>16</v>
      </c>
      <c r="B528" s="1" t="s">
        <v>111</v>
      </c>
      <c r="C528" s="4">
        <v>36</v>
      </c>
      <c r="D528" s="8">
        <v>2</v>
      </c>
      <c r="E528" s="4">
        <v>19</v>
      </c>
      <c r="F528" s="8">
        <v>1.57</v>
      </c>
      <c r="G528" s="4">
        <v>17</v>
      </c>
      <c r="H528" s="8">
        <v>3.09</v>
      </c>
      <c r="I528" s="4">
        <v>0</v>
      </c>
    </row>
    <row r="529" spans="1:9" x14ac:dyDescent="0.2">
      <c r="A529" s="2">
        <v>18</v>
      </c>
      <c r="B529" s="1" t="s">
        <v>110</v>
      </c>
      <c r="C529" s="4">
        <v>35</v>
      </c>
      <c r="D529" s="8">
        <v>1.95</v>
      </c>
      <c r="E529" s="4">
        <v>22</v>
      </c>
      <c r="F529" s="8">
        <v>1.82</v>
      </c>
      <c r="G529" s="4">
        <v>13</v>
      </c>
      <c r="H529" s="8">
        <v>2.36</v>
      </c>
      <c r="I529" s="4">
        <v>0</v>
      </c>
    </row>
    <row r="530" spans="1:9" x14ac:dyDescent="0.2">
      <c r="A530" s="2">
        <v>19</v>
      </c>
      <c r="B530" s="1" t="s">
        <v>124</v>
      </c>
      <c r="C530" s="4">
        <v>33</v>
      </c>
      <c r="D530" s="8">
        <v>1.84</v>
      </c>
      <c r="E530" s="4">
        <v>22</v>
      </c>
      <c r="F530" s="8">
        <v>1.82</v>
      </c>
      <c r="G530" s="4">
        <v>11</v>
      </c>
      <c r="H530" s="8">
        <v>2</v>
      </c>
      <c r="I530" s="4">
        <v>0</v>
      </c>
    </row>
    <row r="531" spans="1:9" x14ac:dyDescent="0.2">
      <c r="A531" s="2">
        <v>20</v>
      </c>
      <c r="B531" s="1" t="s">
        <v>131</v>
      </c>
      <c r="C531" s="4">
        <v>29</v>
      </c>
      <c r="D531" s="8">
        <v>1.61</v>
      </c>
      <c r="E531" s="4">
        <v>22</v>
      </c>
      <c r="F531" s="8">
        <v>1.82</v>
      </c>
      <c r="G531" s="4">
        <v>7</v>
      </c>
      <c r="H531" s="8">
        <v>1.27</v>
      </c>
      <c r="I531" s="4">
        <v>0</v>
      </c>
    </row>
    <row r="532" spans="1:9" x14ac:dyDescent="0.2">
      <c r="A532" s="1"/>
      <c r="C532" s="4"/>
      <c r="D532" s="8"/>
      <c r="E532" s="4"/>
      <c r="F532" s="8"/>
      <c r="G532" s="4"/>
      <c r="H532" s="8"/>
      <c r="I532" s="4"/>
    </row>
    <row r="533" spans="1:9" x14ac:dyDescent="0.2">
      <c r="A533" s="1" t="s">
        <v>24</v>
      </c>
      <c r="C533" s="4"/>
      <c r="D533" s="8"/>
      <c r="E533" s="4"/>
      <c r="F533" s="8"/>
      <c r="G533" s="4"/>
      <c r="H533" s="8"/>
      <c r="I533" s="4"/>
    </row>
    <row r="534" spans="1:9" x14ac:dyDescent="0.2">
      <c r="A534" s="2">
        <v>1</v>
      </c>
      <c r="B534" s="1" t="s">
        <v>113</v>
      </c>
      <c r="C534" s="4">
        <v>124</v>
      </c>
      <c r="D534" s="8">
        <v>11.7</v>
      </c>
      <c r="E534" s="4">
        <v>104</v>
      </c>
      <c r="F534" s="8">
        <v>16.22</v>
      </c>
      <c r="G534" s="4">
        <v>20</v>
      </c>
      <c r="H534" s="8">
        <v>4.87</v>
      </c>
      <c r="I534" s="4">
        <v>0</v>
      </c>
    </row>
    <row r="535" spans="1:9" x14ac:dyDescent="0.2">
      <c r="A535" s="2">
        <v>2</v>
      </c>
      <c r="B535" s="1" t="s">
        <v>112</v>
      </c>
      <c r="C535" s="4">
        <v>96</v>
      </c>
      <c r="D535" s="8">
        <v>9.06</v>
      </c>
      <c r="E535" s="4">
        <v>86</v>
      </c>
      <c r="F535" s="8">
        <v>13.42</v>
      </c>
      <c r="G535" s="4">
        <v>10</v>
      </c>
      <c r="H535" s="8">
        <v>2.4300000000000002</v>
      </c>
      <c r="I535" s="4">
        <v>0</v>
      </c>
    </row>
    <row r="536" spans="1:9" x14ac:dyDescent="0.2">
      <c r="A536" s="2">
        <v>3</v>
      </c>
      <c r="B536" s="1" t="s">
        <v>107</v>
      </c>
      <c r="C536" s="4">
        <v>73</v>
      </c>
      <c r="D536" s="8">
        <v>6.89</v>
      </c>
      <c r="E536" s="4">
        <v>40</v>
      </c>
      <c r="F536" s="8">
        <v>6.24</v>
      </c>
      <c r="G536" s="4">
        <v>32</v>
      </c>
      <c r="H536" s="8">
        <v>7.79</v>
      </c>
      <c r="I536" s="4">
        <v>1</v>
      </c>
    </row>
    <row r="537" spans="1:9" x14ac:dyDescent="0.2">
      <c r="A537" s="2">
        <v>4</v>
      </c>
      <c r="B537" s="1" t="s">
        <v>105</v>
      </c>
      <c r="C537" s="4">
        <v>64</v>
      </c>
      <c r="D537" s="8">
        <v>6.04</v>
      </c>
      <c r="E537" s="4">
        <v>50</v>
      </c>
      <c r="F537" s="8">
        <v>7.8</v>
      </c>
      <c r="G537" s="4">
        <v>14</v>
      </c>
      <c r="H537" s="8">
        <v>3.41</v>
      </c>
      <c r="I537" s="4">
        <v>0</v>
      </c>
    </row>
    <row r="538" spans="1:9" x14ac:dyDescent="0.2">
      <c r="A538" s="2">
        <v>5</v>
      </c>
      <c r="B538" s="1" t="s">
        <v>98</v>
      </c>
      <c r="C538" s="4">
        <v>48</v>
      </c>
      <c r="D538" s="8">
        <v>4.53</v>
      </c>
      <c r="E538" s="4">
        <v>15</v>
      </c>
      <c r="F538" s="8">
        <v>2.34</v>
      </c>
      <c r="G538" s="4">
        <v>33</v>
      </c>
      <c r="H538" s="8">
        <v>8.0299999999999994</v>
      </c>
      <c r="I538" s="4">
        <v>0</v>
      </c>
    </row>
    <row r="539" spans="1:9" x14ac:dyDescent="0.2">
      <c r="A539" s="2">
        <v>6</v>
      </c>
      <c r="B539" s="1" t="s">
        <v>106</v>
      </c>
      <c r="C539" s="4">
        <v>47</v>
      </c>
      <c r="D539" s="8">
        <v>4.43</v>
      </c>
      <c r="E539" s="4">
        <v>37</v>
      </c>
      <c r="F539" s="8">
        <v>5.77</v>
      </c>
      <c r="G539" s="4">
        <v>10</v>
      </c>
      <c r="H539" s="8">
        <v>2.4300000000000002</v>
      </c>
      <c r="I539" s="4">
        <v>0</v>
      </c>
    </row>
    <row r="540" spans="1:9" x14ac:dyDescent="0.2">
      <c r="A540" s="2">
        <v>7</v>
      </c>
      <c r="B540" s="1" t="s">
        <v>99</v>
      </c>
      <c r="C540" s="4">
        <v>44</v>
      </c>
      <c r="D540" s="8">
        <v>4.1500000000000004</v>
      </c>
      <c r="E540" s="4">
        <v>29</v>
      </c>
      <c r="F540" s="8">
        <v>4.5199999999999996</v>
      </c>
      <c r="G540" s="4">
        <v>15</v>
      </c>
      <c r="H540" s="8">
        <v>3.65</v>
      </c>
      <c r="I540" s="4">
        <v>0</v>
      </c>
    </row>
    <row r="541" spans="1:9" x14ac:dyDescent="0.2">
      <c r="A541" s="2">
        <v>7</v>
      </c>
      <c r="B541" s="1" t="s">
        <v>115</v>
      </c>
      <c r="C541" s="4">
        <v>44</v>
      </c>
      <c r="D541" s="8">
        <v>4.1500000000000004</v>
      </c>
      <c r="E541" s="4">
        <v>40</v>
      </c>
      <c r="F541" s="8">
        <v>6.24</v>
      </c>
      <c r="G541" s="4">
        <v>4</v>
      </c>
      <c r="H541" s="8">
        <v>0.97</v>
      </c>
      <c r="I541" s="4">
        <v>0</v>
      </c>
    </row>
    <row r="542" spans="1:9" x14ac:dyDescent="0.2">
      <c r="A542" s="2">
        <v>9</v>
      </c>
      <c r="B542" s="1" t="s">
        <v>114</v>
      </c>
      <c r="C542" s="4">
        <v>42</v>
      </c>
      <c r="D542" s="8">
        <v>3.96</v>
      </c>
      <c r="E542" s="4">
        <v>34</v>
      </c>
      <c r="F542" s="8">
        <v>5.3</v>
      </c>
      <c r="G542" s="4">
        <v>6</v>
      </c>
      <c r="H542" s="8">
        <v>1.46</v>
      </c>
      <c r="I542" s="4">
        <v>1</v>
      </c>
    </row>
    <row r="543" spans="1:9" x14ac:dyDescent="0.2">
      <c r="A543" s="2">
        <v>10</v>
      </c>
      <c r="B543" s="1" t="s">
        <v>109</v>
      </c>
      <c r="C543" s="4">
        <v>39</v>
      </c>
      <c r="D543" s="8">
        <v>3.68</v>
      </c>
      <c r="E543" s="4">
        <v>6</v>
      </c>
      <c r="F543" s="8">
        <v>0.94</v>
      </c>
      <c r="G543" s="4">
        <v>32</v>
      </c>
      <c r="H543" s="8">
        <v>7.79</v>
      </c>
      <c r="I543" s="4">
        <v>0</v>
      </c>
    </row>
    <row r="544" spans="1:9" x14ac:dyDescent="0.2">
      <c r="A544" s="2">
        <v>11</v>
      </c>
      <c r="B544" s="1" t="s">
        <v>100</v>
      </c>
      <c r="C544" s="4">
        <v>30</v>
      </c>
      <c r="D544" s="8">
        <v>2.83</v>
      </c>
      <c r="E544" s="4">
        <v>13</v>
      </c>
      <c r="F544" s="8">
        <v>2.0299999999999998</v>
      </c>
      <c r="G544" s="4">
        <v>17</v>
      </c>
      <c r="H544" s="8">
        <v>4.1399999999999997</v>
      </c>
      <c r="I544" s="4">
        <v>0</v>
      </c>
    </row>
    <row r="545" spans="1:9" x14ac:dyDescent="0.2">
      <c r="A545" s="2">
        <v>12</v>
      </c>
      <c r="B545" s="1" t="s">
        <v>104</v>
      </c>
      <c r="C545" s="4">
        <v>28</v>
      </c>
      <c r="D545" s="8">
        <v>2.64</v>
      </c>
      <c r="E545" s="4">
        <v>15</v>
      </c>
      <c r="F545" s="8">
        <v>2.34</v>
      </c>
      <c r="G545" s="4">
        <v>13</v>
      </c>
      <c r="H545" s="8">
        <v>3.16</v>
      </c>
      <c r="I545" s="4">
        <v>0</v>
      </c>
    </row>
    <row r="546" spans="1:9" x14ac:dyDescent="0.2">
      <c r="A546" s="2">
        <v>12</v>
      </c>
      <c r="B546" s="1" t="s">
        <v>111</v>
      </c>
      <c r="C546" s="4">
        <v>28</v>
      </c>
      <c r="D546" s="8">
        <v>2.64</v>
      </c>
      <c r="E546" s="4">
        <v>11</v>
      </c>
      <c r="F546" s="8">
        <v>1.72</v>
      </c>
      <c r="G546" s="4">
        <v>17</v>
      </c>
      <c r="H546" s="8">
        <v>4.1399999999999997</v>
      </c>
      <c r="I546" s="4">
        <v>0</v>
      </c>
    </row>
    <row r="547" spans="1:9" x14ac:dyDescent="0.2">
      <c r="A547" s="2">
        <v>14</v>
      </c>
      <c r="B547" s="1" t="s">
        <v>108</v>
      </c>
      <c r="C547" s="4">
        <v>25</v>
      </c>
      <c r="D547" s="8">
        <v>2.36</v>
      </c>
      <c r="E547" s="4">
        <v>8</v>
      </c>
      <c r="F547" s="8">
        <v>1.25</v>
      </c>
      <c r="G547" s="4">
        <v>17</v>
      </c>
      <c r="H547" s="8">
        <v>4.1399999999999997</v>
      </c>
      <c r="I547" s="4">
        <v>0</v>
      </c>
    </row>
    <row r="548" spans="1:9" x14ac:dyDescent="0.2">
      <c r="A548" s="2">
        <v>15</v>
      </c>
      <c r="B548" s="1" t="s">
        <v>110</v>
      </c>
      <c r="C548" s="4">
        <v>23</v>
      </c>
      <c r="D548" s="8">
        <v>2.17</v>
      </c>
      <c r="E548" s="4">
        <v>15</v>
      </c>
      <c r="F548" s="8">
        <v>2.34</v>
      </c>
      <c r="G548" s="4">
        <v>8</v>
      </c>
      <c r="H548" s="8">
        <v>1.95</v>
      </c>
      <c r="I548" s="4">
        <v>0</v>
      </c>
    </row>
    <row r="549" spans="1:9" x14ac:dyDescent="0.2">
      <c r="A549" s="2">
        <v>16</v>
      </c>
      <c r="B549" s="1" t="s">
        <v>123</v>
      </c>
      <c r="C549" s="4">
        <v>22</v>
      </c>
      <c r="D549" s="8">
        <v>2.08</v>
      </c>
      <c r="E549" s="4">
        <v>21</v>
      </c>
      <c r="F549" s="8">
        <v>3.28</v>
      </c>
      <c r="G549" s="4">
        <v>1</v>
      </c>
      <c r="H549" s="8">
        <v>0.24</v>
      </c>
      <c r="I549" s="4">
        <v>0</v>
      </c>
    </row>
    <row r="550" spans="1:9" x14ac:dyDescent="0.2">
      <c r="A550" s="2">
        <v>17</v>
      </c>
      <c r="B550" s="1" t="s">
        <v>134</v>
      </c>
      <c r="C550" s="4">
        <v>19</v>
      </c>
      <c r="D550" s="8">
        <v>1.79</v>
      </c>
      <c r="E550" s="4">
        <v>7</v>
      </c>
      <c r="F550" s="8">
        <v>1.0900000000000001</v>
      </c>
      <c r="G550" s="4">
        <v>12</v>
      </c>
      <c r="H550" s="8">
        <v>2.92</v>
      </c>
      <c r="I550" s="4">
        <v>0</v>
      </c>
    </row>
    <row r="551" spans="1:9" x14ac:dyDescent="0.2">
      <c r="A551" s="2">
        <v>18</v>
      </c>
      <c r="B551" s="1" t="s">
        <v>103</v>
      </c>
      <c r="C551" s="4">
        <v>17</v>
      </c>
      <c r="D551" s="8">
        <v>1.6</v>
      </c>
      <c r="E551" s="4">
        <v>2</v>
      </c>
      <c r="F551" s="8">
        <v>0.31</v>
      </c>
      <c r="G551" s="4">
        <v>15</v>
      </c>
      <c r="H551" s="8">
        <v>3.65</v>
      </c>
      <c r="I551" s="4">
        <v>0</v>
      </c>
    </row>
    <row r="552" spans="1:9" x14ac:dyDescent="0.2">
      <c r="A552" s="2">
        <v>19</v>
      </c>
      <c r="B552" s="1" t="s">
        <v>130</v>
      </c>
      <c r="C552" s="4">
        <v>15</v>
      </c>
      <c r="D552" s="8">
        <v>1.42</v>
      </c>
      <c r="E552" s="4">
        <v>8</v>
      </c>
      <c r="F552" s="8">
        <v>1.25</v>
      </c>
      <c r="G552" s="4">
        <v>7</v>
      </c>
      <c r="H552" s="8">
        <v>1.7</v>
      </c>
      <c r="I552" s="4">
        <v>0</v>
      </c>
    </row>
    <row r="553" spans="1:9" x14ac:dyDescent="0.2">
      <c r="A553" s="2">
        <v>19</v>
      </c>
      <c r="B553" s="1" t="s">
        <v>116</v>
      </c>
      <c r="C553" s="4">
        <v>15</v>
      </c>
      <c r="D553" s="8">
        <v>1.42</v>
      </c>
      <c r="E553" s="4">
        <v>0</v>
      </c>
      <c r="F553" s="8">
        <v>0</v>
      </c>
      <c r="G553" s="4">
        <v>12</v>
      </c>
      <c r="H553" s="8">
        <v>2.92</v>
      </c>
      <c r="I553" s="4">
        <v>2</v>
      </c>
    </row>
    <row r="554" spans="1:9" x14ac:dyDescent="0.2">
      <c r="A554" s="1"/>
      <c r="C554" s="4"/>
      <c r="D554" s="8"/>
      <c r="E554" s="4"/>
      <c r="F554" s="8"/>
      <c r="G554" s="4"/>
      <c r="H554" s="8"/>
      <c r="I554" s="4"/>
    </row>
    <row r="555" spans="1:9" x14ac:dyDescent="0.2">
      <c r="A555" s="1" t="s">
        <v>25</v>
      </c>
      <c r="C555" s="4"/>
      <c r="D555" s="8"/>
      <c r="E555" s="4"/>
      <c r="F555" s="8"/>
      <c r="G555" s="4"/>
      <c r="H555" s="8"/>
      <c r="I555" s="4"/>
    </row>
    <row r="556" spans="1:9" x14ac:dyDescent="0.2">
      <c r="A556" s="2">
        <v>1</v>
      </c>
      <c r="B556" s="1" t="s">
        <v>131</v>
      </c>
      <c r="C556" s="4">
        <v>299</v>
      </c>
      <c r="D556" s="8">
        <v>20.58</v>
      </c>
      <c r="E556" s="4">
        <v>247</v>
      </c>
      <c r="F556" s="8">
        <v>26.14</v>
      </c>
      <c r="G556" s="4">
        <v>52</v>
      </c>
      <c r="H556" s="8">
        <v>10.4</v>
      </c>
      <c r="I556" s="4">
        <v>0</v>
      </c>
    </row>
    <row r="557" spans="1:9" x14ac:dyDescent="0.2">
      <c r="A557" s="2">
        <v>2</v>
      </c>
      <c r="B557" s="1" t="s">
        <v>112</v>
      </c>
      <c r="C557" s="4">
        <v>98</v>
      </c>
      <c r="D557" s="8">
        <v>6.74</v>
      </c>
      <c r="E557" s="4">
        <v>91</v>
      </c>
      <c r="F557" s="8">
        <v>9.6300000000000008</v>
      </c>
      <c r="G557" s="4">
        <v>7</v>
      </c>
      <c r="H557" s="8">
        <v>1.4</v>
      </c>
      <c r="I557" s="4">
        <v>0</v>
      </c>
    </row>
    <row r="558" spans="1:9" x14ac:dyDescent="0.2">
      <c r="A558" s="2">
        <v>3</v>
      </c>
      <c r="B558" s="1" t="s">
        <v>107</v>
      </c>
      <c r="C558" s="4">
        <v>97</v>
      </c>
      <c r="D558" s="8">
        <v>6.68</v>
      </c>
      <c r="E558" s="4">
        <v>57</v>
      </c>
      <c r="F558" s="8">
        <v>6.03</v>
      </c>
      <c r="G558" s="4">
        <v>40</v>
      </c>
      <c r="H558" s="8">
        <v>8</v>
      </c>
      <c r="I558" s="4">
        <v>0</v>
      </c>
    </row>
    <row r="559" spans="1:9" x14ac:dyDescent="0.2">
      <c r="A559" s="2">
        <v>4</v>
      </c>
      <c r="B559" s="1" t="s">
        <v>113</v>
      </c>
      <c r="C559" s="4">
        <v>95</v>
      </c>
      <c r="D559" s="8">
        <v>6.54</v>
      </c>
      <c r="E559" s="4">
        <v>85</v>
      </c>
      <c r="F559" s="8">
        <v>8.99</v>
      </c>
      <c r="G559" s="4">
        <v>10</v>
      </c>
      <c r="H559" s="8">
        <v>2</v>
      </c>
      <c r="I559" s="4">
        <v>0</v>
      </c>
    </row>
    <row r="560" spans="1:9" x14ac:dyDescent="0.2">
      <c r="A560" s="2">
        <v>5</v>
      </c>
      <c r="B560" s="1" t="s">
        <v>135</v>
      </c>
      <c r="C560" s="4">
        <v>79</v>
      </c>
      <c r="D560" s="8">
        <v>5.44</v>
      </c>
      <c r="E560" s="4">
        <v>41</v>
      </c>
      <c r="F560" s="8">
        <v>4.34</v>
      </c>
      <c r="G560" s="4">
        <v>38</v>
      </c>
      <c r="H560" s="8">
        <v>7.6</v>
      </c>
      <c r="I560" s="4">
        <v>0</v>
      </c>
    </row>
    <row r="561" spans="1:9" x14ac:dyDescent="0.2">
      <c r="A561" s="2">
        <v>6</v>
      </c>
      <c r="B561" s="1" t="s">
        <v>109</v>
      </c>
      <c r="C561" s="4">
        <v>73</v>
      </c>
      <c r="D561" s="8">
        <v>5.0199999999999996</v>
      </c>
      <c r="E561" s="4">
        <v>27</v>
      </c>
      <c r="F561" s="8">
        <v>2.86</v>
      </c>
      <c r="G561" s="4">
        <v>46</v>
      </c>
      <c r="H561" s="8">
        <v>9.1999999999999993</v>
      </c>
      <c r="I561" s="4">
        <v>0</v>
      </c>
    </row>
    <row r="562" spans="1:9" x14ac:dyDescent="0.2">
      <c r="A562" s="2">
        <v>7</v>
      </c>
      <c r="B562" s="1" t="s">
        <v>105</v>
      </c>
      <c r="C562" s="4">
        <v>71</v>
      </c>
      <c r="D562" s="8">
        <v>4.8899999999999997</v>
      </c>
      <c r="E562" s="4">
        <v>55</v>
      </c>
      <c r="F562" s="8">
        <v>5.82</v>
      </c>
      <c r="G562" s="4">
        <v>16</v>
      </c>
      <c r="H562" s="8">
        <v>3.2</v>
      </c>
      <c r="I562" s="4">
        <v>0</v>
      </c>
    </row>
    <row r="563" spans="1:9" x14ac:dyDescent="0.2">
      <c r="A563" s="2">
        <v>8</v>
      </c>
      <c r="B563" s="1" t="s">
        <v>103</v>
      </c>
      <c r="C563" s="4">
        <v>66</v>
      </c>
      <c r="D563" s="8">
        <v>4.54</v>
      </c>
      <c r="E563" s="4">
        <v>22</v>
      </c>
      <c r="F563" s="8">
        <v>2.33</v>
      </c>
      <c r="G563" s="4">
        <v>44</v>
      </c>
      <c r="H563" s="8">
        <v>8.8000000000000007</v>
      </c>
      <c r="I563" s="4">
        <v>0</v>
      </c>
    </row>
    <row r="564" spans="1:9" x14ac:dyDescent="0.2">
      <c r="A564" s="2">
        <v>9</v>
      </c>
      <c r="B564" s="1" t="s">
        <v>98</v>
      </c>
      <c r="C564" s="4">
        <v>59</v>
      </c>
      <c r="D564" s="8">
        <v>4.0599999999999996</v>
      </c>
      <c r="E564" s="4">
        <v>22</v>
      </c>
      <c r="F564" s="8">
        <v>2.33</v>
      </c>
      <c r="G564" s="4">
        <v>37</v>
      </c>
      <c r="H564" s="8">
        <v>7.4</v>
      </c>
      <c r="I564" s="4">
        <v>0</v>
      </c>
    </row>
    <row r="565" spans="1:9" x14ac:dyDescent="0.2">
      <c r="A565" s="2">
        <v>10</v>
      </c>
      <c r="B565" s="1" t="s">
        <v>106</v>
      </c>
      <c r="C565" s="4">
        <v>45</v>
      </c>
      <c r="D565" s="8">
        <v>3.1</v>
      </c>
      <c r="E565" s="4">
        <v>35</v>
      </c>
      <c r="F565" s="8">
        <v>3.7</v>
      </c>
      <c r="G565" s="4">
        <v>10</v>
      </c>
      <c r="H565" s="8">
        <v>2</v>
      </c>
      <c r="I565" s="4">
        <v>0</v>
      </c>
    </row>
    <row r="566" spans="1:9" x14ac:dyDescent="0.2">
      <c r="A566" s="2">
        <v>11</v>
      </c>
      <c r="B566" s="1" t="s">
        <v>99</v>
      </c>
      <c r="C566" s="4">
        <v>42</v>
      </c>
      <c r="D566" s="8">
        <v>2.89</v>
      </c>
      <c r="E566" s="4">
        <v>34</v>
      </c>
      <c r="F566" s="8">
        <v>3.6</v>
      </c>
      <c r="G566" s="4">
        <v>8</v>
      </c>
      <c r="H566" s="8">
        <v>1.6</v>
      </c>
      <c r="I566" s="4">
        <v>0</v>
      </c>
    </row>
    <row r="567" spans="1:9" x14ac:dyDescent="0.2">
      <c r="A567" s="2">
        <v>12</v>
      </c>
      <c r="B567" s="1" t="s">
        <v>115</v>
      </c>
      <c r="C567" s="4">
        <v>37</v>
      </c>
      <c r="D567" s="8">
        <v>2.5499999999999998</v>
      </c>
      <c r="E567" s="4">
        <v>30</v>
      </c>
      <c r="F567" s="8">
        <v>3.17</v>
      </c>
      <c r="G567" s="4">
        <v>7</v>
      </c>
      <c r="H567" s="8">
        <v>1.4</v>
      </c>
      <c r="I567" s="4">
        <v>0</v>
      </c>
    </row>
    <row r="568" spans="1:9" x14ac:dyDescent="0.2">
      <c r="A568" s="2">
        <v>13</v>
      </c>
      <c r="B568" s="1" t="s">
        <v>101</v>
      </c>
      <c r="C568" s="4">
        <v>33</v>
      </c>
      <c r="D568" s="8">
        <v>2.27</v>
      </c>
      <c r="E568" s="4">
        <v>14</v>
      </c>
      <c r="F568" s="8">
        <v>1.48</v>
      </c>
      <c r="G568" s="4">
        <v>19</v>
      </c>
      <c r="H568" s="8">
        <v>3.8</v>
      </c>
      <c r="I568" s="4">
        <v>0</v>
      </c>
    </row>
    <row r="569" spans="1:9" x14ac:dyDescent="0.2">
      <c r="A569" s="2">
        <v>14</v>
      </c>
      <c r="B569" s="1" t="s">
        <v>110</v>
      </c>
      <c r="C569" s="4">
        <v>28</v>
      </c>
      <c r="D569" s="8">
        <v>1.93</v>
      </c>
      <c r="E569" s="4">
        <v>14</v>
      </c>
      <c r="F569" s="8">
        <v>1.48</v>
      </c>
      <c r="G569" s="4">
        <v>14</v>
      </c>
      <c r="H569" s="8">
        <v>2.8</v>
      </c>
      <c r="I569" s="4">
        <v>0</v>
      </c>
    </row>
    <row r="570" spans="1:9" x14ac:dyDescent="0.2">
      <c r="A570" s="2">
        <v>15</v>
      </c>
      <c r="B570" s="1" t="s">
        <v>132</v>
      </c>
      <c r="C570" s="4">
        <v>25</v>
      </c>
      <c r="D570" s="8">
        <v>1.72</v>
      </c>
      <c r="E570" s="4">
        <v>19</v>
      </c>
      <c r="F570" s="8">
        <v>2.0099999999999998</v>
      </c>
      <c r="G570" s="4">
        <v>6</v>
      </c>
      <c r="H570" s="8">
        <v>1.2</v>
      </c>
      <c r="I570" s="4">
        <v>0</v>
      </c>
    </row>
    <row r="571" spans="1:9" x14ac:dyDescent="0.2">
      <c r="A571" s="2">
        <v>16</v>
      </c>
      <c r="B571" s="1" t="s">
        <v>119</v>
      </c>
      <c r="C571" s="4">
        <v>24</v>
      </c>
      <c r="D571" s="8">
        <v>1.65</v>
      </c>
      <c r="E571" s="4">
        <v>18</v>
      </c>
      <c r="F571" s="8">
        <v>1.9</v>
      </c>
      <c r="G571" s="4">
        <v>6</v>
      </c>
      <c r="H571" s="8">
        <v>1.2</v>
      </c>
      <c r="I571" s="4">
        <v>0</v>
      </c>
    </row>
    <row r="572" spans="1:9" x14ac:dyDescent="0.2">
      <c r="A572" s="2">
        <v>16</v>
      </c>
      <c r="B572" s="1" t="s">
        <v>114</v>
      </c>
      <c r="C572" s="4">
        <v>24</v>
      </c>
      <c r="D572" s="8">
        <v>1.65</v>
      </c>
      <c r="E572" s="4">
        <v>18</v>
      </c>
      <c r="F572" s="8">
        <v>1.9</v>
      </c>
      <c r="G572" s="4">
        <v>2</v>
      </c>
      <c r="H572" s="8">
        <v>0.4</v>
      </c>
      <c r="I572" s="4">
        <v>2</v>
      </c>
    </row>
    <row r="573" spans="1:9" x14ac:dyDescent="0.2">
      <c r="A573" s="2">
        <v>18</v>
      </c>
      <c r="B573" s="1" t="s">
        <v>104</v>
      </c>
      <c r="C573" s="4">
        <v>23</v>
      </c>
      <c r="D573" s="8">
        <v>1.58</v>
      </c>
      <c r="E573" s="4">
        <v>11</v>
      </c>
      <c r="F573" s="8">
        <v>1.1599999999999999</v>
      </c>
      <c r="G573" s="4">
        <v>12</v>
      </c>
      <c r="H573" s="8">
        <v>2.4</v>
      </c>
      <c r="I573" s="4">
        <v>0</v>
      </c>
    </row>
    <row r="574" spans="1:9" x14ac:dyDescent="0.2">
      <c r="A574" s="2">
        <v>18</v>
      </c>
      <c r="B574" s="1" t="s">
        <v>123</v>
      </c>
      <c r="C574" s="4">
        <v>23</v>
      </c>
      <c r="D574" s="8">
        <v>1.58</v>
      </c>
      <c r="E574" s="4">
        <v>20</v>
      </c>
      <c r="F574" s="8">
        <v>2.12</v>
      </c>
      <c r="G574" s="4">
        <v>3</v>
      </c>
      <c r="H574" s="8">
        <v>0.6</v>
      </c>
      <c r="I574" s="4">
        <v>0</v>
      </c>
    </row>
    <row r="575" spans="1:9" x14ac:dyDescent="0.2">
      <c r="A575" s="2">
        <v>20</v>
      </c>
      <c r="B575" s="1" t="s">
        <v>111</v>
      </c>
      <c r="C575" s="4">
        <v>17</v>
      </c>
      <c r="D575" s="8">
        <v>1.17</v>
      </c>
      <c r="E575" s="4">
        <v>10</v>
      </c>
      <c r="F575" s="8">
        <v>1.06</v>
      </c>
      <c r="G575" s="4">
        <v>6</v>
      </c>
      <c r="H575" s="8">
        <v>1.2</v>
      </c>
      <c r="I575" s="4">
        <v>0</v>
      </c>
    </row>
    <row r="576" spans="1:9" x14ac:dyDescent="0.2">
      <c r="A576" s="1"/>
      <c r="C576" s="4"/>
      <c r="D576" s="8"/>
      <c r="E576" s="4"/>
      <c r="F576" s="8"/>
      <c r="G576" s="4"/>
      <c r="H576" s="8"/>
      <c r="I576" s="4"/>
    </row>
    <row r="577" spans="1:9" x14ac:dyDescent="0.2">
      <c r="A577" s="1" t="s">
        <v>26</v>
      </c>
      <c r="C577" s="4"/>
      <c r="D577" s="8"/>
      <c r="E577" s="4"/>
      <c r="F577" s="8"/>
      <c r="G577" s="4"/>
      <c r="H577" s="8"/>
      <c r="I577" s="4"/>
    </row>
    <row r="578" spans="1:9" x14ac:dyDescent="0.2">
      <c r="A578" s="2">
        <v>1</v>
      </c>
      <c r="B578" s="1" t="s">
        <v>112</v>
      </c>
      <c r="C578" s="4">
        <v>174</v>
      </c>
      <c r="D578" s="8">
        <v>11.65</v>
      </c>
      <c r="E578" s="4">
        <v>150</v>
      </c>
      <c r="F578" s="8">
        <v>17.32</v>
      </c>
      <c r="G578" s="4">
        <v>24</v>
      </c>
      <c r="H578" s="8">
        <v>3.93</v>
      </c>
      <c r="I578" s="4">
        <v>0</v>
      </c>
    </row>
    <row r="579" spans="1:9" x14ac:dyDescent="0.2">
      <c r="A579" s="2">
        <v>2</v>
      </c>
      <c r="B579" s="1" t="s">
        <v>113</v>
      </c>
      <c r="C579" s="4">
        <v>157</v>
      </c>
      <c r="D579" s="8">
        <v>10.52</v>
      </c>
      <c r="E579" s="4">
        <v>134</v>
      </c>
      <c r="F579" s="8">
        <v>15.47</v>
      </c>
      <c r="G579" s="4">
        <v>23</v>
      </c>
      <c r="H579" s="8">
        <v>3.77</v>
      </c>
      <c r="I579" s="4">
        <v>0</v>
      </c>
    </row>
    <row r="580" spans="1:9" x14ac:dyDescent="0.2">
      <c r="A580" s="2">
        <v>3</v>
      </c>
      <c r="B580" s="1" t="s">
        <v>109</v>
      </c>
      <c r="C580" s="4">
        <v>146</v>
      </c>
      <c r="D580" s="8">
        <v>9.7799999999999994</v>
      </c>
      <c r="E580" s="4">
        <v>106</v>
      </c>
      <c r="F580" s="8">
        <v>12.24</v>
      </c>
      <c r="G580" s="4">
        <v>40</v>
      </c>
      <c r="H580" s="8">
        <v>6.56</v>
      </c>
      <c r="I580" s="4">
        <v>0</v>
      </c>
    </row>
    <row r="581" spans="1:9" x14ac:dyDescent="0.2">
      <c r="A581" s="2">
        <v>4</v>
      </c>
      <c r="B581" s="1" t="s">
        <v>107</v>
      </c>
      <c r="C581" s="4">
        <v>116</v>
      </c>
      <c r="D581" s="8">
        <v>7.77</v>
      </c>
      <c r="E581" s="4">
        <v>54</v>
      </c>
      <c r="F581" s="8">
        <v>6.24</v>
      </c>
      <c r="G581" s="4">
        <v>62</v>
      </c>
      <c r="H581" s="8">
        <v>10.16</v>
      </c>
      <c r="I581" s="4">
        <v>0</v>
      </c>
    </row>
    <row r="582" spans="1:9" x14ac:dyDescent="0.2">
      <c r="A582" s="2">
        <v>5</v>
      </c>
      <c r="B582" s="1" t="s">
        <v>98</v>
      </c>
      <c r="C582" s="4">
        <v>114</v>
      </c>
      <c r="D582" s="8">
        <v>7.64</v>
      </c>
      <c r="E582" s="4">
        <v>41</v>
      </c>
      <c r="F582" s="8">
        <v>4.7300000000000004</v>
      </c>
      <c r="G582" s="4">
        <v>73</v>
      </c>
      <c r="H582" s="8">
        <v>11.97</v>
      </c>
      <c r="I582" s="4">
        <v>0</v>
      </c>
    </row>
    <row r="583" spans="1:9" x14ac:dyDescent="0.2">
      <c r="A583" s="2">
        <v>6</v>
      </c>
      <c r="B583" s="1" t="s">
        <v>105</v>
      </c>
      <c r="C583" s="4">
        <v>75</v>
      </c>
      <c r="D583" s="8">
        <v>5.0199999999999996</v>
      </c>
      <c r="E583" s="4">
        <v>57</v>
      </c>
      <c r="F583" s="8">
        <v>6.58</v>
      </c>
      <c r="G583" s="4">
        <v>18</v>
      </c>
      <c r="H583" s="8">
        <v>2.95</v>
      </c>
      <c r="I583" s="4">
        <v>0</v>
      </c>
    </row>
    <row r="584" spans="1:9" x14ac:dyDescent="0.2">
      <c r="A584" s="2">
        <v>7</v>
      </c>
      <c r="B584" s="1" t="s">
        <v>114</v>
      </c>
      <c r="C584" s="4">
        <v>66</v>
      </c>
      <c r="D584" s="8">
        <v>4.42</v>
      </c>
      <c r="E584" s="4">
        <v>48</v>
      </c>
      <c r="F584" s="8">
        <v>5.54</v>
      </c>
      <c r="G584" s="4">
        <v>9</v>
      </c>
      <c r="H584" s="8">
        <v>1.48</v>
      </c>
      <c r="I584" s="4">
        <v>0</v>
      </c>
    </row>
    <row r="585" spans="1:9" x14ac:dyDescent="0.2">
      <c r="A585" s="2">
        <v>8</v>
      </c>
      <c r="B585" s="1" t="s">
        <v>115</v>
      </c>
      <c r="C585" s="4">
        <v>57</v>
      </c>
      <c r="D585" s="8">
        <v>3.82</v>
      </c>
      <c r="E585" s="4">
        <v>47</v>
      </c>
      <c r="F585" s="8">
        <v>5.43</v>
      </c>
      <c r="G585" s="4">
        <v>10</v>
      </c>
      <c r="H585" s="8">
        <v>1.64</v>
      </c>
      <c r="I585" s="4">
        <v>0</v>
      </c>
    </row>
    <row r="586" spans="1:9" x14ac:dyDescent="0.2">
      <c r="A586" s="2">
        <v>9</v>
      </c>
      <c r="B586" s="1" t="s">
        <v>104</v>
      </c>
      <c r="C586" s="4">
        <v>53</v>
      </c>
      <c r="D586" s="8">
        <v>3.55</v>
      </c>
      <c r="E586" s="4">
        <v>22</v>
      </c>
      <c r="F586" s="8">
        <v>2.54</v>
      </c>
      <c r="G586" s="4">
        <v>31</v>
      </c>
      <c r="H586" s="8">
        <v>5.08</v>
      </c>
      <c r="I586" s="4">
        <v>0</v>
      </c>
    </row>
    <row r="587" spans="1:9" x14ac:dyDescent="0.2">
      <c r="A587" s="2">
        <v>10</v>
      </c>
      <c r="B587" s="1" t="s">
        <v>100</v>
      </c>
      <c r="C587" s="4">
        <v>51</v>
      </c>
      <c r="D587" s="8">
        <v>3.42</v>
      </c>
      <c r="E587" s="4">
        <v>18</v>
      </c>
      <c r="F587" s="8">
        <v>2.08</v>
      </c>
      <c r="G587" s="4">
        <v>33</v>
      </c>
      <c r="H587" s="8">
        <v>5.41</v>
      </c>
      <c r="I587" s="4">
        <v>0</v>
      </c>
    </row>
    <row r="588" spans="1:9" x14ac:dyDescent="0.2">
      <c r="A588" s="2">
        <v>11</v>
      </c>
      <c r="B588" s="1" t="s">
        <v>106</v>
      </c>
      <c r="C588" s="4">
        <v>48</v>
      </c>
      <c r="D588" s="8">
        <v>3.22</v>
      </c>
      <c r="E588" s="4">
        <v>30</v>
      </c>
      <c r="F588" s="8">
        <v>3.46</v>
      </c>
      <c r="G588" s="4">
        <v>18</v>
      </c>
      <c r="H588" s="8">
        <v>2.95</v>
      </c>
      <c r="I588" s="4">
        <v>0</v>
      </c>
    </row>
    <row r="589" spans="1:9" x14ac:dyDescent="0.2">
      <c r="A589" s="2">
        <v>12</v>
      </c>
      <c r="B589" s="1" t="s">
        <v>99</v>
      </c>
      <c r="C589" s="4">
        <v>36</v>
      </c>
      <c r="D589" s="8">
        <v>2.41</v>
      </c>
      <c r="E589" s="4">
        <v>19</v>
      </c>
      <c r="F589" s="8">
        <v>2.19</v>
      </c>
      <c r="G589" s="4">
        <v>17</v>
      </c>
      <c r="H589" s="8">
        <v>2.79</v>
      </c>
      <c r="I589" s="4">
        <v>0</v>
      </c>
    </row>
    <row r="590" spans="1:9" x14ac:dyDescent="0.2">
      <c r="A590" s="2">
        <v>13</v>
      </c>
      <c r="B590" s="1" t="s">
        <v>110</v>
      </c>
      <c r="C590" s="4">
        <v>34</v>
      </c>
      <c r="D590" s="8">
        <v>2.2799999999999998</v>
      </c>
      <c r="E590" s="4">
        <v>27</v>
      </c>
      <c r="F590" s="8">
        <v>3.12</v>
      </c>
      <c r="G590" s="4">
        <v>7</v>
      </c>
      <c r="H590" s="8">
        <v>1.1499999999999999</v>
      </c>
      <c r="I590" s="4">
        <v>0</v>
      </c>
    </row>
    <row r="591" spans="1:9" x14ac:dyDescent="0.2">
      <c r="A591" s="2">
        <v>13</v>
      </c>
      <c r="B591" s="1" t="s">
        <v>116</v>
      </c>
      <c r="C591" s="4">
        <v>34</v>
      </c>
      <c r="D591" s="8">
        <v>2.2799999999999998</v>
      </c>
      <c r="E591" s="4">
        <v>0</v>
      </c>
      <c r="F591" s="8">
        <v>0</v>
      </c>
      <c r="G591" s="4">
        <v>33</v>
      </c>
      <c r="H591" s="8">
        <v>5.41</v>
      </c>
      <c r="I591" s="4">
        <v>0</v>
      </c>
    </row>
    <row r="592" spans="1:9" x14ac:dyDescent="0.2">
      <c r="A592" s="2">
        <v>15</v>
      </c>
      <c r="B592" s="1" t="s">
        <v>111</v>
      </c>
      <c r="C592" s="4">
        <v>28</v>
      </c>
      <c r="D592" s="8">
        <v>1.88</v>
      </c>
      <c r="E592" s="4">
        <v>14</v>
      </c>
      <c r="F592" s="8">
        <v>1.62</v>
      </c>
      <c r="G592" s="4">
        <v>14</v>
      </c>
      <c r="H592" s="8">
        <v>2.2999999999999998</v>
      </c>
      <c r="I592" s="4">
        <v>0</v>
      </c>
    </row>
    <row r="593" spans="1:9" x14ac:dyDescent="0.2">
      <c r="A593" s="2">
        <v>16</v>
      </c>
      <c r="B593" s="1" t="s">
        <v>118</v>
      </c>
      <c r="C593" s="4">
        <v>24</v>
      </c>
      <c r="D593" s="8">
        <v>1.61</v>
      </c>
      <c r="E593" s="4">
        <v>7</v>
      </c>
      <c r="F593" s="8">
        <v>0.81</v>
      </c>
      <c r="G593" s="4">
        <v>17</v>
      </c>
      <c r="H593" s="8">
        <v>2.79</v>
      </c>
      <c r="I593" s="4">
        <v>0</v>
      </c>
    </row>
    <row r="594" spans="1:9" x14ac:dyDescent="0.2">
      <c r="A594" s="2">
        <v>17</v>
      </c>
      <c r="B594" s="1" t="s">
        <v>123</v>
      </c>
      <c r="C594" s="4">
        <v>22</v>
      </c>
      <c r="D594" s="8">
        <v>1.47</v>
      </c>
      <c r="E594" s="4">
        <v>16</v>
      </c>
      <c r="F594" s="8">
        <v>1.85</v>
      </c>
      <c r="G594" s="4">
        <v>6</v>
      </c>
      <c r="H594" s="8">
        <v>0.98</v>
      </c>
      <c r="I594" s="4">
        <v>0</v>
      </c>
    </row>
    <row r="595" spans="1:9" x14ac:dyDescent="0.2">
      <c r="A595" s="2">
        <v>18</v>
      </c>
      <c r="B595" s="1" t="s">
        <v>124</v>
      </c>
      <c r="C595" s="4">
        <v>19</v>
      </c>
      <c r="D595" s="8">
        <v>1.27</v>
      </c>
      <c r="E595" s="4">
        <v>8</v>
      </c>
      <c r="F595" s="8">
        <v>0.92</v>
      </c>
      <c r="G595" s="4">
        <v>11</v>
      </c>
      <c r="H595" s="8">
        <v>1.8</v>
      </c>
      <c r="I595" s="4">
        <v>0</v>
      </c>
    </row>
    <row r="596" spans="1:9" x14ac:dyDescent="0.2">
      <c r="A596" s="2">
        <v>18</v>
      </c>
      <c r="B596" s="1" t="s">
        <v>121</v>
      </c>
      <c r="C596" s="4">
        <v>19</v>
      </c>
      <c r="D596" s="8">
        <v>1.27</v>
      </c>
      <c r="E596" s="4">
        <v>12</v>
      </c>
      <c r="F596" s="8">
        <v>1.39</v>
      </c>
      <c r="G596" s="4">
        <v>7</v>
      </c>
      <c r="H596" s="8">
        <v>1.1499999999999999</v>
      </c>
      <c r="I596" s="4">
        <v>0</v>
      </c>
    </row>
    <row r="597" spans="1:9" x14ac:dyDescent="0.2">
      <c r="A597" s="2">
        <v>20</v>
      </c>
      <c r="B597" s="1" t="s">
        <v>108</v>
      </c>
      <c r="C597" s="4">
        <v>18</v>
      </c>
      <c r="D597" s="8">
        <v>1.21</v>
      </c>
      <c r="E597" s="4">
        <v>1</v>
      </c>
      <c r="F597" s="8">
        <v>0.12</v>
      </c>
      <c r="G597" s="4">
        <v>17</v>
      </c>
      <c r="H597" s="8">
        <v>2.79</v>
      </c>
      <c r="I597" s="4">
        <v>0</v>
      </c>
    </row>
    <row r="598" spans="1:9" x14ac:dyDescent="0.2">
      <c r="A598" s="1"/>
      <c r="C598" s="4"/>
      <c r="D598" s="8"/>
      <c r="E598" s="4"/>
      <c r="F598" s="8"/>
      <c r="G598" s="4"/>
      <c r="H598" s="8"/>
      <c r="I598" s="4"/>
    </row>
    <row r="599" spans="1:9" x14ac:dyDescent="0.2">
      <c r="A599" s="1" t="s">
        <v>27</v>
      </c>
      <c r="C599" s="4"/>
      <c r="D599" s="8"/>
      <c r="E599" s="4"/>
      <c r="F599" s="8"/>
      <c r="G599" s="4"/>
      <c r="H599" s="8"/>
      <c r="I599" s="4"/>
    </row>
    <row r="600" spans="1:9" x14ac:dyDescent="0.2">
      <c r="A600" s="2">
        <v>1</v>
      </c>
      <c r="B600" s="1" t="s">
        <v>113</v>
      </c>
      <c r="C600" s="4">
        <v>71</v>
      </c>
      <c r="D600" s="8">
        <v>11.83</v>
      </c>
      <c r="E600" s="4">
        <v>63</v>
      </c>
      <c r="F600" s="8">
        <v>17.899999999999999</v>
      </c>
      <c r="G600" s="4">
        <v>8</v>
      </c>
      <c r="H600" s="8">
        <v>3.52</v>
      </c>
      <c r="I600" s="4">
        <v>0</v>
      </c>
    </row>
    <row r="601" spans="1:9" x14ac:dyDescent="0.2">
      <c r="A601" s="2">
        <v>2</v>
      </c>
      <c r="B601" s="1" t="s">
        <v>112</v>
      </c>
      <c r="C601" s="4">
        <v>58</v>
      </c>
      <c r="D601" s="8">
        <v>9.67</v>
      </c>
      <c r="E601" s="4">
        <v>51</v>
      </c>
      <c r="F601" s="8">
        <v>14.49</v>
      </c>
      <c r="G601" s="4">
        <v>7</v>
      </c>
      <c r="H601" s="8">
        <v>3.08</v>
      </c>
      <c r="I601" s="4">
        <v>0</v>
      </c>
    </row>
    <row r="602" spans="1:9" x14ac:dyDescent="0.2">
      <c r="A602" s="2">
        <v>3</v>
      </c>
      <c r="B602" s="1" t="s">
        <v>98</v>
      </c>
      <c r="C602" s="4">
        <v>50</v>
      </c>
      <c r="D602" s="8">
        <v>8.33</v>
      </c>
      <c r="E602" s="4">
        <v>14</v>
      </c>
      <c r="F602" s="8">
        <v>3.98</v>
      </c>
      <c r="G602" s="4">
        <v>36</v>
      </c>
      <c r="H602" s="8">
        <v>15.86</v>
      </c>
      <c r="I602" s="4">
        <v>0</v>
      </c>
    </row>
    <row r="603" spans="1:9" x14ac:dyDescent="0.2">
      <c r="A603" s="2">
        <v>4</v>
      </c>
      <c r="B603" s="1" t="s">
        <v>107</v>
      </c>
      <c r="C603" s="4">
        <v>48</v>
      </c>
      <c r="D603" s="8">
        <v>8</v>
      </c>
      <c r="E603" s="4">
        <v>28</v>
      </c>
      <c r="F603" s="8">
        <v>7.95</v>
      </c>
      <c r="G603" s="4">
        <v>19</v>
      </c>
      <c r="H603" s="8">
        <v>8.3699999999999992</v>
      </c>
      <c r="I603" s="4">
        <v>1</v>
      </c>
    </row>
    <row r="604" spans="1:9" x14ac:dyDescent="0.2">
      <c r="A604" s="2">
        <v>5</v>
      </c>
      <c r="B604" s="1" t="s">
        <v>105</v>
      </c>
      <c r="C604" s="4">
        <v>43</v>
      </c>
      <c r="D604" s="8">
        <v>7.17</v>
      </c>
      <c r="E604" s="4">
        <v>37</v>
      </c>
      <c r="F604" s="8">
        <v>10.51</v>
      </c>
      <c r="G604" s="4">
        <v>6</v>
      </c>
      <c r="H604" s="8">
        <v>2.64</v>
      </c>
      <c r="I604" s="4">
        <v>0</v>
      </c>
    </row>
    <row r="605" spans="1:9" x14ac:dyDescent="0.2">
      <c r="A605" s="2">
        <v>6</v>
      </c>
      <c r="B605" s="1" t="s">
        <v>114</v>
      </c>
      <c r="C605" s="4">
        <v>34</v>
      </c>
      <c r="D605" s="8">
        <v>5.67</v>
      </c>
      <c r="E605" s="4">
        <v>17</v>
      </c>
      <c r="F605" s="8">
        <v>4.83</v>
      </c>
      <c r="G605" s="4">
        <v>6</v>
      </c>
      <c r="H605" s="8">
        <v>2.64</v>
      </c>
      <c r="I605" s="4">
        <v>0</v>
      </c>
    </row>
    <row r="606" spans="1:9" x14ac:dyDescent="0.2">
      <c r="A606" s="2">
        <v>7</v>
      </c>
      <c r="B606" s="1" t="s">
        <v>115</v>
      </c>
      <c r="C606" s="4">
        <v>26</v>
      </c>
      <c r="D606" s="8">
        <v>4.33</v>
      </c>
      <c r="E606" s="4">
        <v>23</v>
      </c>
      <c r="F606" s="8">
        <v>6.53</v>
      </c>
      <c r="G606" s="4">
        <v>3</v>
      </c>
      <c r="H606" s="8">
        <v>1.32</v>
      </c>
      <c r="I606" s="4">
        <v>0</v>
      </c>
    </row>
    <row r="607" spans="1:9" x14ac:dyDescent="0.2">
      <c r="A607" s="2">
        <v>8</v>
      </c>
      <c r="B607" s="1" t="s">
        <v>106</v>
      </c>
      <c r="C607" s="4">
        <v>22</v>
      </c>
      <c r="D607" s="8">
        <v>3.67</v>
      </c>
      <c r="E607" s="4">
        <v>17</v>
      </c>
      <c r="F607" s="8">
        <v>4.83</v>
      </c>
      <c r="G607" s="4">
        <v>5</v>
      </c>
      <c r="H607" s="8">
        <v>2.2000000000000002</v>
      </c>
      <c r="I607" s="4">
        <v>0</v>
      </c>
    </row>
    <row r="608" spans="1:9" x14ac:dyDescent="0.2">
      <c r="A608" s="2">
        <v>9</v>
      </c>
      <c r="B608" s="1" t="s">
        <v>121</v>
      </c>
      <c r="C608" s="4">
        <v>20</v>
      </c>
      <c r="D608" s="8">
        <v>3.33</v>
      </c>
      <c r="E608" s="4">
        <v>7</v>
      </c>
      <c r="F608" s="8">
        <v>1.99</v>
      </c>
      <c r="G608" s="4">
        <v>13</v>
      </c>
      <c r="H608" s="8">
        <v>5.73</v>
      </c>
      <c r="I608" s="4">
        <v>0</v>
      </c>
    </row>
    <row r="609" spans="1:9" x14ac:dyDescent="0.2">
      <c r="A609" s="2">
        <v>10</v>
      </c>
      <c r="B609" s="1" t="s">
        <v>100</v>
      </c>
      <c r="C609" s="4">
        <v>19</v>
      </c>
      <c r="D609" s="8">
        <v>3.17</v>
      </c>
      <c r="E609" s="4">
        <v>6</v>
      </c>
      <c r="F609" s="8">
        <v>1.7</v>
      </c>
      <c r="G609" s="4">
        <v>13</v>
      </c>
      <c r="H609" s="8">
        <v>5.73</v>
      </c>
      <c r="I609" s="4">
        <v>0</v>
      </c>
    </row>
    <row r="610" spans="1:9" x14ac:dyDescent="0.2">
      <c r="A610" s="2">
        <v>10</v>
      </c>
      <c r="B610" s="1" t="s">
        <v>109</v>
      </c>
      <c r="C610" s="4">
        <v>19</v>
      </c>
      <c r="D610" s="8">
        <v>3.17</v>
      </c>
      <c r="E610" s="4">
        <v>10</v>
      </c>
      <c r="F610" s="8">
        <v>2.84</v>
      </c>
      <c r="G610" s="4">
        <v>8</v>
      </c>
      <c r="H610" s="8">
        <v>3.52</v>
      </c>
      <c r="I610" s="4">
        <v>0</v>
      </c>
    </row>
    <row r="611" spans="1:9" x14ac:dyDescent="0.2">
      <c r="A611" s="2">
        <v>12</v>
      </c>
      <c r="B611" s="1" t="s">
        <v>123</v>
      </c>
      <c r="C611" s="4">
        <v>14</v>
      </c>
      <c r="D611" s="8">
        <v>2.33</v>
      </c>
      <c r="E611" s="4">
        <v>12</v>
      </c>
      <c r="F611" s="8">
        <v>3.41</v>
      </c>
      <c r="G611" s="4">
        <v>2</v>
      </c>
      <c r="H611" s="8">
        <v>0.88</v>
      </c>
      <c r="I611" s="4">
        <v>0</v>
      </c>
    </row>
    <row r="612" spans="1:9" x14ac:dyDescent="0.2">
      <c r="A612" s="2">
        <v>13</v>
      </c>
      <c r="B612" s="1" t="s">
        <v>99</v>
      </c>
      <c r="C612" s="4">
        <v>13</v>
      </c>
      <c r="D612" s="8">
        <v>2.17</v>
      </c>
      <c r="E612" s="4">
        <v>8</v>
      </c>
      <c r="F612" s="8">
        <v>2.27</v>
      </c>
      <c r="G612" s="4">
        <v>5</v>
      </c>
      <c r="H612" s="8">
        <v>2.2000000000000002</v>
      </c>
      <c r="I612" s="4">
        <v>0</v>
      </c>
    </row>
    <row r="613" spans="1:9" x14ac:dyDescent="0.2">
      <c r="A613" s="2">
        <v>13</v>
      </c>
      <c r="B613" s="1" t="s">
        <v>104</v>
      </c>
      <c r="C613" s="4">
        <v>13</v>
      </c>
      <c r="D613" s="8">
        <v>2.17</v>
      </c>
      <c r="E613" s="4">
        <v>8</v>
      </c>
      <c r="F613" s="8">
        <v>2.27</v>
      </c>
      <c r="G613" s="4">
        <v>5</v>
      </c>
      <c r="H613" s="8">
        <v>2.2000000000000002</v>
      </c>
      <c r="I613" s="4">
        <v>0</v>
      </c>
    </row>
    <row r="614" spans="1:9" x14ac:dyDescent="0.2">
      <c r="A614" s="2">
        <v>13</v>
      </c>
      <c r="B614" s="1" t="s">
        <v>118</v>
      </c>
      <c r="C614" s="4">
        <v>13</v>
      </c>
      <c r="D614" s="8">
        <v>2.17</v>
      </c>
      <c r="E614" s="4">
        <v>7</v>
      </c>
      <c r="F614" s="8">
        <v>1.99</v>
      </c>
      <c r="G614" s="4">
        <v>6</v>
      </c>
      <c r="H614" s="8">
        <v>2.64</v>
      </c>
      <c r="I614" s="4">
        <v>0</v>
      </c>
    </row>
    <row r="615" spans="1:9" x14ac:dyDescent="0.2">
      <c r="A615" s="2">
        <v>16</v>
      </c>
      <c r="B615" s="1" t="s">
        <v>103</v>
      </c>
      <c r="C615" s="4">
        <v>12</v>
      </c>
      <c r="D615" s="8">
        <v>2</v>
      </c>
      <c r="E615" s="4">
        <v>4</v>
      </c>
      <c r="F615" s="8">
        <v>1.1399999999999999</v>
      </c>
      <c r="G615" s="4">
        <v>8</v>
      </c>
      <c r="H615" s="8">
        <v>3.52</v>
      </c>
      <c r="I615" s="4">
        <v>0</v>
      </c>
    </row>
    <row r="616" spans="1:9" x14ac:dyDescent="0.2">
      <c r="A616" s="2">
        <v>17</v>
      </c>
      <c r="B616" s="1" t="s">
        <v>111</v>
      </c>
      <c r="C616" s="4">
        <v>11</v>
      </c>
      <c r="D616" s="8">
        <v>1.83</v>
      </c>
      <c r="E616" s="4">
        <v>3</v>
      </c>
      <c r="F616" s="8">
        <v>0.85</v>
      </c>
      <c r="G616" s="4">
        <v>8</v>
      </c>
      <c r="H616" s="8">
        <v>3.52</v>
      </c>
      <c r="I616" s="4">
        <v>0</v>
      </c>
    </row>
    <row r="617" spans="1:9" x14ac:dyDescent="0.2">
      <c r="A617" s="2">
        <v>18</v>
      </c>
      <c r="B617" s="1" t="s">
        <v>130</v>
      </c>
      <c r="C617" s="4">
        <v>8</v>
      </c>
      <c r="D617" s="8">
        <v>1.33</v>
      </c>
      <c r="E617" s="4">
        <v>6</v>
      </c>
      <c r="F617" s="8">
        <v>1.7</v>
      </c>
      <c r="G617" s="4">
        <v>1</v>
      </c>
      <c r="H617" s="8">
        <v>0.44</v>
      </c>
      <c r="I617" s="4">
        <v>1</v>
      </c>
    </row>
    <row r="618" spans="1:9" x14ac:dyDescent="0.2">
      <c r="A618" s="2">
        <v>18</v>
      </c>
      <c r="B618" s="1" t="s">
        <v>110</v>
      </c>
      <c r="C618" s="4">
        <v>8</v>
      </c>
      <c r="D618" s="8">
        <v>1.33</v>
      </c>
      <c r="E618" s="4">
        <v>6</v>
      </c>
      <c r="F618" s="8">
        <v>1.7</v>
      </c>
      <c r="G618" s="4">
        <v>2</v>
      </c>
      <c r="H618" s="8">
        <v>0.88</v>
      </c>
      <c r="I618" s="4">
        <v>0</v>
      </c>
    </row>
    <row r="619" spans="1:9" x14ac:dyDescent="0.2">
      <c r="A619" s="2">
        <v>20</v>
      </c>
      <c r="B619" s="1" t="s">
        <v>119</v>
      </c>
      <c r="C619" s="4">
        <v>6</v>
      </c>
      <c r="D619" s="8">
        <v>1</v>
      </c>
      <c r="E619" s="4">
        <v>1</v>
      </c>
      <c r="F619" s="8">
        <v>0.28000000000000003</v>
      </c>
      <c r="G619" s="4">
        <v>5</v>
      </c>
      <c r="H619" s="8">
        <v>2.2000000000000002</v>
      </c>
      <c r="I619" s="4">
        <v>0</v>
      </c>
    </row>
    <row r="620" spans="1:9" x14ac:dyDescent="0.2">
      <c r="A620" s="2">
        <v>20</v>
      </c>
      <c r="B620" s="1" t="s">
        <v>124</v>
      </c>
      <c r="C620" s="4">
        <v>6</v>
      </c>
      <c r="D620" s="8">
        <v>1</v>
      </c>
      <c r="E620" s="4">
        <v>2</v>
      </c>
      <c r="F620" s="8">
        <v>0.56999999999999995</v>
      </c>
      <c r="G620" s="4">
        <v>4</v>
      </c>
      <c r="H620" s="8">
        <v>1.76</v>
      </c>
      <c r="I620" s="4">
        <v>0</v>
      </c>
    </row>
    <row r="621" spans="1:9" x14ac:dyDescent="0.2">
      <c r="A621" s="2">
        <v>20</v>
      </c>
      <c r="B621" s="1" t="s">
        <v>101</v>
      </c>
      <c r="C621" s="4">
        <v>6</v>
      </c>
      <c r="D621" s="8">
        <v>1</v>
      </c>
      <c r="E621" s="4">
        <v>3</v>
      </c>
      <c r="F621" s="8">
        <v>0.85</v>
      </c>
      <c r="G621" s="4">
        <v>3</v>
      </c>
      <c r="H621" s="8">
        <v>1.32</v>
      </c>
      <c r="I621" s="4">
        <v>0</v>
      </c>
    </row>
    <row r="622" spans="1:9" x14ac:dyDescent="0.2">
      <c r="A622" s="2">
        <v>20</v>
      </c>
      <c r="B622" s="1" t="s">
        <v>122</v>
      </c>
      <c r="C622" s="4">
        <v>6</v>
      </c>
      <c r="D622" s="8">
        <v>1</v>
      </c>
      <c r="E622" s="4">
        <v>2</v>
      </c>
      <c r="F622" s="8">
        <v>0.56999999999999995</v>
      </c>
      <c r="G622" s="4">
        <v>4</v>
      </c>
      <c r="H622" s="8">
        <v>1.76</v>
      </c>
      <c r="I622" s="4">
        <v>0</v>
      </c>
    </row>
    <row r="623" spans="1:9" x14ac:dyDescent="0.2">
      <c r="A623" s="1"/>
      <c r="C623" s="4"/>
      <c r="D623" s="8"/>
      <c r="E623" s="4"/>
      <c r="F623" s="8"/>
      <c r="G623" s="4"/>
      <c r="H623" s="8"/>
      <c r="I623" s="4"/>
    </row>
    <row r="624" spans="1:9" x14ac:dyDescent="0.2">
      <c r="A624" s="1" t="s">
        <v>28</v>
      </c>
      <c r="C624" s="4"/>
      <c r="D624" s="8"/>
      <c r="E624" s="4"/>
      <c r="F624" s="8"/>
      <c r="G624" s="4"/>
      <c r="H624" s="8"/>
      <c r="I624" s="4"/>
    </row>
    <row r="625" spans="1:9" x14ac:dyDescent="0.2">
      <c r="A625" s="2">
        <v>1</v>
      </c>
      <c r="B625" s="1" t="s">
        <v>113</v>
      </c>
      <c r="C625" s="4">
        <v>121</v>
      </c>
      <c r="D625" s="8">
        <v>13.36</v>
      </c>
      <c r="E625" s="4">
        <v>107</v>
      </c>
      <c r="F625" s="8">
        <v>21.15</v>
      </c>
      <c r="G625" s="4">
        <v>14</v>
      </c>
      <c r="H625" s="8">
        <v>3.6</v>
      </c>
      <c r="I625" s="4">
        <v>0</v>
      </c>
    </row>
    <row r="626" spans="1:9" x14ac:dyDescent="0.2">
      <c r="A626" s="2">
        <v>2</v>
      </c>
      <c r="B626" s="1" t="s">
        <v>98</v>
      </c>
      <c r="C626" s="4">
        <v>95</v>
      </c>
      <c r="D626" s="8">
        <v>10.49</v>
      </c>
      <c r="E626" s="4">
        <v>17</v>
      </c>
      <c r="F626" s="8">
        <v>3.36</v>
      </c>
      <c r="G626" s="4">
        <v>78</v>
      </c>
      <c r="H626" s="8">
        <v>20.05</v>
      </c>
      <c r="I626" s="4">
        <v>0</v>
      </c>
    </row>
    <row r="627" spans="1:9" x14ac:dyDescent="0.2">
      <c r="A627" s="2">
        <v>3</v>
      </c>
      <c r="B627" s="1" t="s">
        <v>99</v>
      </c>
      <c r="C627" s="4">
        <v>62</v>
      </c>
      <c r="D627" s="8">
        <v>6.84</v>
      </c>
      <c r="E627" s="4">
        <v>26</v>
      </c>
      <c r="F627" s="8">
        <v>5.14</v>
      </c>
      <c r="G627" s="4">
        <v>36</v>
      </c>
      <c r="H627" s="8">
        <v>9.25</v>
      </c>
      <c r="I627" s="4">
        <v>0</v>
      </c>
    </row>
    <row r="628" spans="1:9" x14ac:dyDescent="0.2">
      <c r="A628" s="2">
        <v>3</v>
      </c>
      <c r="B628" s="1" t="s">
        <v>112</v>
      </c>
      <c r="C628" s="4">
        <v>62</v>
      </c>
      <c r="D628" s="8">
        <v>6.84</v>
      </c>
      <c r="E628" s="4">
        <v>54</v>
      </c>
      <c r="F628" s="8">
        <v>10.67</v>
      </c>
      <c r="G628" s="4">
        <v>8</v>
      </c>
      <c r="H628" s="8">
        <v>2.06</v>
      </c>
      <c r="I628" s="4">
        <v>0</v>
      </c>
    </row>
    <row r="629" spans="1:9" x14ac:dyDescent="0.2">
      <c r="A629" s="2">
        <v>5</v>
      </c>
      <c r="B629" s="1" t="s">
        <v>100</v>
      </c>
      <c r="C629" s="4">
        <v>60</v>
      </c>
      <c r="D629" s="8">
        <v>6.62</v>
      </c>
      <c r="E629" s="4">
        <v>16</v>
      </c>
      <c r="F629" s="8">
        <v>3.16</v>
      </c>
      <c r="G629" s="4">
        <v>44</v>
      </c>
      <c r="H629" s="8">
        <v>11.31</v>
      </c>
      <c r="I629" s="4">
        <v>0</v>
      </c>
    </row>
    <row r="630" spans="1:9" x14ac:dyDescent="0.2">
      <c r="A630" s="2">
        <v>6</v>
      </c>
      <c r="B630" s="1" t="s">
        <v>107</v>
      </c>
      <c r="C630" s="4">
        <v>58</v>
      </c>
      <c r="D630" s="8">
        <v>6.4</v>
      </c>
      <c r="E630" s="4">
        <v>33</v>
      </c>
      <c r="F630" s="8">
        <v>6.52</v>
      </c>
      <c r="G630" s="4">
        <v>25</v>
      </c>
      <c r="H630" s="8">
        <v>6.43</v>
      </c>
      <c r="I630" s="4">
        <v>0</v>
      </c>
    </row>
    <row r="631" spans="1:9" x14ac:dyDescent="0.2">
      <c r="A631" s="2">
        <v>7</v>
      </c>
      <c r="B631" s="1" t="s">
        <v>105</v>
      </c>
      <c r="C631" s="4">
        <v>55</v>
      </c>
      <c r="D631" s="8">
        <v>6.07</v>
      </c>
      <c r="E631" s="4">
        <v>39</v>
      </c>
      <c r="F631" s="8">
        <v>7.71</v>
      </c>
      <c r="G631" s="4">
        <v>15</v>
      </c>
      <c r="H631" s="8">
        <v>3.86</v>
      </c>
      <c r="I631" s="4">
        <v>1</v>
      </c>
    </row>
    <row r="632" spans="1:9" x14ac:dyDescent="0.2">
      <c r="A632" s="2">
        <v>8</v>
      </c>
      <c r="B632" s="1" t="s">
        <v>115</v>
      </c>
      <c r="C632" s="4">
        <v>39</v>
      </c>
      <c r="D632" s="8">
        <v>4.3</v>
      </c>
      <c r="E632" s="4">
        <v>35</v>
      </c>
      <c r="F632" s="8">
        <v>6.92</v>
      </c>
      <c r="G632" s="4">
        <v>4</v>
      </c>
      <c r="H632" s="8">
        <v>1.03</v>
      </c>
      <c r="I632" s="4">
        <v>0</v>
      </c>
    </row>
    <row r="633" spans="1:9" x14ac:dyDescent="0.2">
      <c r="A633" s="2">
        <v>9</v>
      </c>
      <c r="B633" s="1" t="s">
        <v>114</v>
      </c>
      <c r="C633" s="4">
        <v>36</v>
      </c>
      <c r="D633" s="8">
        <v>3.97</v>
      </c>
      <c r="E633" s="4">
        <v>29</v>
      </c>
      <c r="F633" s="8">
        <v>5.73</v>
      </c>
      <c r="G633" s="4">
        <v>6</v>
      </c>
      <c r="H633" s="8">
        <v>1.54</v>
      </c>
      <c r="I633" s="4">
        <v>1</v>
      </c>
    </row>
    <row r="634" spans="1:9" x14ac:dyDescent="0.2">
      <c r="A634" s="2">
        <v>10</v>
      </c>
      <c r="B634" s="1" t="s">
        <v>106</v>
      </c>
      <c r="C634" s="4">
        <v>29</v>
      </c>
      <c r="D634" s="8">
        <v>3.2</v>
      </c>
      <c r="E634" s="4">
        <v>18</v>
      </c>
      <c r="F634" s="8">
        <v>3.56</v>
      </c>
      <c r="G634" s="4">
        <v>11</v>
      </c>
      <c r="H634" s="8">
        <v>2.83</v>
      </c>
      <c r="I634" s="4">
        <v>0</v>
      </c>
    </row>
    <row r="635" spans="1:9" x14ac:dyDescent="0.2">
      <c r="A635" s="2">
        <v>11</v>
      </c>
      <c r="B635" s="1" t="s">
        <v>104</v>
      </c>
      <c r="C635" s="4">
        <v>26</v>
      </c>
      <c r="D635" s="8">
        <v>2.87</v>
      </c>
      <c r="E635" s="4">
        <v>9</v>
      </c>
      <c r="F635" s="8">
        <v>1.78</v>
      </c>
      <c r="G635" s="4">
        <v>17</v>
      </c>
      <c r="H635" s="8">
        <v>4.37</v>
      </c>
      <c r="I635" s="4">
        <v>0</v>
      </c>
    </row>
    <row r="636" spans="1:9" x14ac:dyDescent="0.2">
      <c r="A636" s="2">
        <v>11</v>
      </c>
      <c r="B636" s="1" t="s">
        <v>109</v>
      </c>
      <c r="C636" s="4">
        <v>26</v>
      </c>
      <c r="D636" s="8">
        <v>2.87</v>
      </c>
      <c r="E636" s="4">
        <v>9</v>
      </c>
      <c r="F636" s="8">
        <v>1.78</v>
      </c>
      <c r="G636" s="4">
        <v>16</v>
      </c>
      <c r="H636" s="8">
        <v>4.1100000000000003</v>
      </c>
      <c r="I636" s="4">
        <v>0</v>
      </c>
    </row>
    <row r="637" spans="1:9" x14ac:dyDescent="0.2">
      <c r="A637" s="2">
        <v>13</v>
      </c>
      <c r="B637" s="1" t="s">
        <v>110</v>
      </c>
      <c r="C637" s="4">
        <v>23</v>
      </c>
      <c r="D637" s="8">
        <v>2.54</v>
      </c>
      <c r="E637" s="4">
        <v>20</v>
      </c>
      <c r="F637" s="8">
        <v>3.95</v>
      </c>
      <c r="G637" s="4">
        <v>3</v>
      </c>
      <c r="H637" s="8">
        <v>0.77</v>
      </c>
      <c r="I637" s="4">
        <v>0</v>
      </c>
    </row>
    <row r="638" spans="1:9" x14ac:dyDescent="0.2">
      <c r="A638" s="2">
        <v>14</v>
      </c>
      <c r="B638" s="1" t="s">
        <v>118</v>
      </c>
      <c r="C638" s="4">
        <v>21</v>
      </c>
      <c r="D638" s="8">
        <v>2.3199999999999998</v>
      </c>
      <c r="E638" s="4">
        <v>13</v>
      </c>
      <c r="F638" s="8">
        <v>2.57</v>
      </c>
      <c r="G638" s="4">
        <v>8</v>
      </c>
      <c r="H638" s="8">
        <v>2.06</v>
      </c>
      <c r="I638" s="4">
        <v>0</v>
      </c>
    </row>
    <row r="639" spans="1:9" x14ac:dyDescent="0.2">
      <c r="A639" s="2">
        <v>15</v>
      </c>
      <c r="B639" s="1" t="s">
        <v>111</v>
      </c>
      <c r="C639" s="4">
        <v>17</v>
      </c>
      <c r="D639" s="8">
        <v>1.88</v>
      </c>
      <c r="E639" s="4">
        <v>6</v>
      </c>
      <c r="F639" s="8">
        <v>1.19</v>
      </c>
      <c r="G639" s="4">
        <v>10</v>
      </c>
      <c r="H639" s="8">
        <v>2.57</v>
      </c>
      <c r="I639" s="4">
        <v>0</v>
      </c>
    </row>
    <row r="640" spans="1:9" x14ac:dyDescent="0.2">
      <c r="A640" s="2">
        <v>16</v>
      </c>
      <c r="B640" s="1" t="s">
        <v>123</v>
      </c>
      <c r="C640" s="4">
        <v>16</v>
      </c>
      <c r="D640" s="8">
        <v>1.77</v>
      </c>
      <c r="E640" s="4">
        <v>15</v>
      </c>
      <c r="F640" s="8">
        <v>2.96</v>
      </c>
      <c r="G640" s="4">
        <v>1</v>
      </c>
      <c r="H640" s="8">
        <v>0.26</v>
      </c>
      <c r="I640" s="4">
        <v>0</v>
      </c>
    </row>
    <row r="641" spans="1:9" x14ac:dyDescent="0.2">
      <c r="A641" s="2">
        <v>17</v>
      </c>
      <c r="B641" s="1" t="s">
        <v>103</v>
      </c>
      <c r="C641" s="4">
        <v>14</v>
      </c>
      <c r="D641" s="8">
        <v>1.55</v>
      </c>
      <c r="E641" s="4">
        <v>6</v>
      </c>
      <c r="F641" s="8">
        <v>1.19</v>
      </c>
      <c r="G641" s="4">
        <v>8</v>
      </c>
      <c r="H641" s="8">
        <v>2.06</v>
      </c>
      <c r="I641" s="4">
        <v>0</v>
      </c>
    </row>
    <row r="642" spans="1:9" x14ac:dyDescent="0.2">
      <c r="A642" s="2">
        <v>18</v>
      </c>
      <c r="B642" s="1" t="s">
        <v>108</v>
      </c>
      <c r="C642" s="4">
        <v>13</v>
      </c>
      <c r="D642" s="8">
        <v>1.43</v>
      </c>
      <c r="E642" s="4">
        <v>4</v>
      </c>
      <c r="F642" s="8">
        <v>0.79</v>
      </c>
      <c r="G642" s="4">
        <v>9</v>
      </c>
      <c r="H642" s="8">
        <v>2.31</v>
      </c>
      <c r="I642" s="4">
        <v>0</v>
      </c>
    </row>
    <row r="643" spans="1:9" x14ac:dyDescent="0.2">
      <c r="A643" s="2">
        <v>19</v>
      </c>
      <c r="B643" s="1" t="s">
        <v>126</v>
      </c>
      <c r="C643" s="4">
        <v>12</v>
      </c>
      <c r="D643" s="8">
        <v>1.32</v>
      </c>
      <c r="E643" s="4">
        <v>6</v>
      </c>
      <c r="F643" s="8">
        <v>1.19</v>
      </c>
      <c r="G643" s="4">
        <v>6</v>
      </c>
      <c r="H643" s="8">
        <v>1.54</v>
      </c>
      <c r="I643" s="4">
        <v>0</v>
      </c>
    </row>
    <row r="644" spans="1:9" x14ac:dyDescent="0.2">
      <c r="A644" s="2">
        <v>19</v>
      </c>
      <c r="B644" s="1" t="s">
        <v>116</v>
      </c>
      <c r="C644" s="4">
        <v>12</v>
      </c>
      <c r="D644" s="8">
        <v>1.32</v>
      </c>
      <c r="E644" s="4">
        <v>0</v>
      </c>
      <c r="F644" s="8">
        <v>0</v>
      </c>
      <c r="G644" s="4">
        <v>12</v>
      </c>
      <c r="H644" s="8">
        <v>3.08</v>
      </c>
      <c r="I644" s="4">
        <v>0</v>
      </c>
    </row>
    <row r="645" spans="1:9" x14ac:dyDescent="0.2">
      <c r="A645" s="1"/>
      <c r="C645" s="4"/>
      <c r="D645" s="8"/>
      <c r="E645" s="4"/>
      <c r="F645" s="8"/>
      <c r="G645" s="4"/>
      <c r="H645" s="8"/>
      <c r="I645" s="4"/>
    </row>
    <row r="646" spans="1:9" x14ac:dyDescent="0.2">
      <c r="A646" s="1" t="s">
        <v>29</v>
      </c>
      <c r="C646" s="4"/>
      <c r="D646" s="8"/>
      <c r="E646" s="4"/>
      <c r="F646" s="8"/>
      <c r="G646" s="4"/>
      <c r="H646" s="8"/>
      <c r="I646" s="4"/>
    </row>
    <row r="647" spans="1:9" x14ac:dyDescent="0.2">
      <c r="A647" s="2">
        <v>1</v>
      </c>
      <c r="B647" s="1" t="s">
        <v>113</v>
      </c>
      <c r="C647" s="4">
        <v>92</v>
      </c>
      <c r="D647" s="8">
        <v>10.91</v>
      </c>
      <c r="E647" s="4">
        <v>81</v>
      </c>
      <c r="F647" s="8">
        <v>16.5</v>
      </c>
      <c r="G647" s="4">
        <v>11</v>
      </c>
      <c r="H647" s="8">
        <v>3.24</v>
      </c>
      <c r="I647" s="4">
        <v>0</v>
      </c>
    </row>
    <row r="648" spans="1:9" x14ac:dyDescent="0.2">
      <c r="A648" s="2">
        <v>2</v>
      </c>
      <c r="B648" s="1" t="s">
        <v>109</v>
      </c>
      <c r="C648" s="4">
        <v>91</v>
      </c>
      <c r="D648" s="8">
        <v>10.79</v>
      </c>
      <c r="E648" s="4">
        <v>58</v>
      </c>
      <c r="F648" s="8">
        <v>11.81</v>
      </c>
      <c r="G648" s="4">
        <v>33</v>
      </c>
      <c r="H648" s="8">
        <v>9.73</v>
      </c>
      <c r="I648" s="4">
        <v>0</v>
      </c>
    </row>
    <row r="649" spans="1:9" x14ac:dyDescent="0.2">
      <c r="A649" s="2">
        <v>3</v>
      </c>
      <c r="B649" s="1" t="s">
        <v>112</v>
      </c>
      <c r="C649" s="4">
        <v>75</v>
      </c>
      <c r="D649" s="8">
        <v>8.9</v>
      </c>
      <c r="E649" s="4">
        <v>71</v>
      </c>
      <c r="F649" s="8">
        <v>14.46</v>
      </c>
      <c r="G649" s="4">
        <v>4</v>
      </c>
      <c r="H649" s="8">
        <v>1.18</v>
      </c>
      <c r="I649" s="4">
        <v>0</v>
      </c>
    </row>
    <row r="650" spans="1:9" x14ac:dyDescent="0.2">
      <c r="A650" s="2">
        <v>4</v>
      </c>
      <c r="B650" s="1" t="s">
        <v>107</v>
      </c>
      <c r="C650" s="4">
        <v>66</v>
      </c>
      <c r="D650" s="8">
        <v>7.83</v>
      </c>
      <c r="E650" s="4">
        <v>37</v>
      </c>
      <c r="F650" s="8">
        <v>7.54</v>
      </c>
      <c r="G650" s="4">
        <v>29</v>
      </c>
      <c r="H650" s="8">
        <v>8.5500000000000007</v>
      </c>
      <c r="I650" s="4">
        <v>0</v>
      </c>
    </row>
    <row r="651" spans="1:9" x14ac:dyDescent="0.2">
      <c r="A651" s="2">
        <v>5</v>
      </c>
      <c r="B651" s="1" t="s">
        <v>98</v>
      </c>
      <c r="C651" s="4">
        <v>52</v>
      </c>
      <c r="D651" s="8">
        <v>6.17</v>
      </c>
      <c r="E651" s="4">
        <v>18</v>
      </c>
      <c r="F651" s="8">
        <v>3.67</v>
      </c>
      <c r="G651" s="4">
        <v>34</v>
      </c>
      <c r="H651" s="8">
        <v>10.029999999999999</v>
      </c>
      <c r="I651" s="4">
        <v>0</v>
      </c>
    </row>
    <row r="652" spans="1:9" x14ac:dyDescent="0.2">
      <c r="A652" s="2">
        <v>6</v>
      </c>
      <c r="B652" s="1" t="s">
        <v>105</v>
      </c>
      <c r="C652" s="4">
        <v>42</v>
      </c>
      <c r="D652" s="8">
        <v>4.9800000000000004</v>
      </c>
      <c r="E652" s="4">
        <v>29</v>
      </c>
      <c r="F652" s="8">
        <v>5.91</v>
      </c>
      <c r="G652" s="4">
        <v>12</v>
      </c>
      <c r="H652" s="8">
        <v>3.54</v>
      </c>
      <c r="I652" s="4">
        <v>1</v>
      </c>
    </row>
    <row r="653" spans="1:9" x14ac:dyDescent="0.2">
      <c r="A653" s="2">
        <v>7</v>
      </c>
      <c r="B653" s="1" t="s">
        <v>114</v>
      </c>
      <c r="C653" s="4">
        <v>41</v>
      </c>
      <c r="D653" s="8">
        <v>4.8600000000000003</v>
      </c>
      <c r="E653" s="4">
        <v>33</v>
      </c>
      <c r="F653" s="8">
        <v>6.72</v>
      </c>
      <c r="G653" s="4">
        <v>8</v>
      </c>
      <c r="H653" s="8">
        <v>2.36</v>
      </c>
      <c r="I653" s="4">
        <v>0</v>
      </c>
    </row>
    <row r="654" spans="1:9" x14ac:dyDescent="0.2">
      <c r="A654" s="2">
        <v>8</v>
      </c>
      <c r="B654" s="1" t="s">
        <v>115</v>
      </c>
      <c r="C654" s="4">
        <v>32</v>
      </c>
      <c r="D654" s="8">
        <v>3.8</v>
      </c>
      <c r="E654" s="4">
        <v>30</v>
      </c>
      <c r="F654" s="8">
        <v>6.11</v>
      </c>
      <c r="G654" s="4">
        <v>2</v>
      </c>
      <c r="H654" s="8">
        <v>0.59</v>
      </c>
      <c r="I654" s="4">
        <v>0</v>
      </c>
    </row>
    <row r="655" spans="1:9" x14ac:dyDescent="0.2">
      <c r="A655" s="2">
        <v>9</v>
      </c>
      <c r="B655" s="1" t="s">
        <v>110</v>
      </c>
      <c r="C655" s="4">
        <v>31</v>
      </c>
      <c r="D655" s="8">
        <v>3.68</v>
      </c>
      <c r="E655" s="4">
        <v>18</v>
      </c>
      <c r="F655" s="8">
        <v>3.67</v>
      </c>
      <c r="G655" s="4">
        <v>13</v>
      </c>
      <c r="H655" s="8">
        <v>3.83</v>
      </c>
      <c r="I655" s="4">
        <v>0</v>
      </c>
    </row>
    <row r="656" spans="1:9" x14ac:dyDescent="0.2">
      <c r="A656" s="2">
        <v>10</v>
      </c>
      <c r="B656" s="1" t="s">
        <v>106</v>
      </c>
      <c r="C656" s="4">
        <v>29</v>
      </c>
      <c r="D656" s="8">
        <v>3.44</v>
      </c>
      <c r="E656" s="4">
        <v>16</v>
      </c>
      <c r="F656" s="8">
        <v>3.26</v>
      </c>
      <c r="G656" s="4">
        <v>13</v>
      </c>
      <c r="H656" s="8">
        <v>3.83</v>
      </c>
      <c r="I656" s="4">
        <v>0</v>
      </c>
    </row>
    <row r="657" spans="1:9" x14ac:dyDescent="0.2">
      <c r="A657" s="2">
        <v>11</v>
      </c>
      <c r="B657" s="1" t="s">
        <v>99</v>
      </c>
      <c r="C657" s="4">
        <v>21</v>
      </c>
      <c r="D657" s="8">
        <v>2.4900000000000002</v>
      </c>
      <c r="E657" s="4">
        <v>10</v>
      </c>
      <c r="F657" s="8">
        <v>2.04</v>
      </c>
      <c r="G657" s="4">
        <v>11</v>
      </c>
      <c r="H657" s="8">
        <v>3.24</v>
      </c>
      <c r="I657" s="4">
        <v>0</v>
      </c>
    </row>
    <row r="658" spans="1:9" x14ac:dyDescent="0.2">
      <c r="A658" s="2">
        <v>12</v>
      </c>
      <c r="B658" s="1" t="s">
        <v>104</v>
      </c>
      <c r="C658" s="4">
        <v>20</v>
      </c>
      <c r="D658" s="8">
        <v>2.37</v>
      </c>
      <c r="E658" s="4">
        <v>13</v>
      </c>
      <c r="F658" s="8">
        <v>2.65</v>
      </c>
      <c r="G658" s="4">
        <v>7</v>
      </c>
      <c r="H658" s="8">
        <v>2.06</v>
      </c>
      <c r="I658" s="4">
        <v>0</v>
      </c>
    </row>
    <row r="659" spans="1:9" x14ac:dyDescent="0.2">
      <c r="A659" s="2">
        <v>12</v>
      </c>
      <c r="B659" s="1" t="s">
        <v>116</v>
      </c>
      <c r="C659" s="4">
        <v>20</v>
      </c>
      <c r="D659" s="8">
        <v>2.37</v>
      </c>
      <c r="E659" s="4">
        <v>1</v>
      </c>
      <c r="F659" s="8">
        <v>0.2</v>
      </c>
      <c r="G659" s="4">
        <v>19</v>
      </c>
      <c r="H659" s="8">
        <v>5.6</v>
      </c>
      <c r="I659" s="4">
        <v>0</v>
      </c>
    </row>
    <row r="660" spans="1:9" x14ac:dyDescent="0.2">
      <c r="A660" s="2">
        <v>14</v>
      </c>
      <c r="B660" s="1" t="s">
        <v>100</v>
      </c>
      <c r="C660" s="4">
        <v>19</v>
      </c>
      <c r="D660" s="8">
        <v>2.25</v>
      </c>
      <c r="E660" s="4">
        <v>7</v>
      </c>
      <c r="F660" s="8">
        <v>1.43</v>
      </c>
      <c r="G660" s="4">
        <v>12</v>
      </c>
      <c r="H660" s="8">
        <v>3.54</v>
      </c>
      <c r="I660" s="4">
        <v>0</v>
      </c>
    </row>
    <row r="661" spans="1:9" x14ac:dyDescent="0.2">
      <c r="A661" s="2">
        <v>15</v>
      </c>
      <c r="B661" s="1" t="s">
        <v>123</v>
      </c>
      <c r="C661" s="4">
        <v>18</v>
      </c>
      <c r="D661" s="8">
        <v>2.14</v>
      </c>
      <c r="E661" s="4">
        <v>16</v>
      </c>
      <c r="F661" s="8">
        <v>3.26</v>
      </c>
      <c r="G661" s="4">
        <v>2</v>
      </c>
      <c r="H661" s="8">
        <v>0.59</v>
      </c>
      <c r="I661" s="4">
        <v>0</v>
      </c>
    </row>
    <row r="662" spans="1:9" x14ac:dyDescent="0.2">
      <c r="A662" s="2">
        <v>16</v>
      </c>
      <c r="B662" s="1" t="s">
        <v>126</v>
      </c>
      <c r="C662" s="4">
        <v>17</v>
      </c>
      <c r="D662" s="8">
        <v>2.02</v>
      </c>
      <c r="E662" s="4">
        <v>4</v>
      </c>
      <c r="F662" s="8">
        <v>0.81</v>
      </c>
      <c r="G662" s="4">
        <v>13</v>
      </c>
      <c r="H662" s="8">
        <v>3.83</v>
      </c>
      <c r="I662" s="4">
        <v>0</v>
      </c>
    </row>
    <row r="663" spans="1:9" x14ac:dyDescent="0.2">
      <c r="A663" s="2">
        <v>16</v>
      </c>
      <c r="B663" s="1" t="s">
        <v>118</v>
      </c>
      <c r="C663" s="4">
        <v>17</v>
      </c>
      <c r="D663" s="8">
        <v>2.02</v>
      </c>
      <c r="E663" s="4">
        <v>9</v>
      </c>
      <c r="F663" s="8">
        <v>1.83</v>
      </c>
      <c r="G663" s="4">
        <v>8</v>
      </c>
      <c r="H663" s="8">
        <v>2.36</v>
      </c>
      <c r="I663" s="4">
        <v>0</v>
      </c>
    </row>
    <row r="664" spans="1:9" x14ac:dyDescent="0.2">
      <c r="A664" s="2">
        <v>18</v>
      </c>
      <c r="B664" s="1" t="s">
        <v>111</v>
      </c>
      <c r="C664" s="4">
        <v>16</v>
      </c>
      <c r="D664" s="8">
        <v>1.9</v>
      </c>
      <c r="E664" s="4">
        <v>3</v>
      </c>
      <c r="F664" s="8">
        <v>0.61</v>
      </c>
      <c r="G664" s="4">
        <v>13</v>
      </c>
      <c r="H664" s="8">
        <v>3.83</v>
      </c>
      <c r="I664" s="4">
        <v>0</v>
      </c>
    </row>
    <row r="665" spans="1:9" x14ac:dyDescent="0.2">
      <c r="A665" s="2">
        <v>19</v>
      </c>
      <c r="B665" s="1" t="s">
        <v>103</v>
      </c>
      <c r="C665" s="4">
        <v>14</v>
      </c>
      <c r="D665" s="8">
        <v>1.66</v>
      </c>
      <c r="E665" s="4">
        <v>2</v>
      </c>
      <c r="F665" s="8">
        <v>0.41</v>
      </c>
      <c r="G665" s="4">
        <v>12</v>
      </c>
      <c r="H665" s="8">
        <v>3.54</v>
      </c>
      <c r="I665" s="4">
        <v>0</v>
      </c>
    </row>
    <row r="666" spans="1:9" x14ac:dyDescent="0.2">
      <c r="A666" s="2">
        <v>20</v>
      </c>
      <c r="B666" s="1" t="s">
        <v>108</v>
      </c>
      <c r="C666" s="4">
        <v>11</v>
      </c>
      <c r="D666" s="8">
        <v>1.3</v>
      </c>
      <c r="E666" s="4">
        <v>3</v>
      </c>
      <c r="F666" s="8">
        <v>0.61</v>
      </c>
      <c r="G666" s="4">
        <v>8</v>
      </c>
      <c r="H666" s="8">
        <v>2.36</v>
      </c>
      <c r="I666" s="4">
        <v>0</v>
      </c>
    </row>
    <row r="667" spans="1:9" x14ac:dyDescent="0.2">
      <c r="A667" s="1"/>
      <c r="C667" s="4"/>
      <c r="D667" s="8"/>
      <c r="E667" s="4"/>
      <c r="F667" s="8"/>
      <c r="G667" s="4"/>
      <c r="H667" s="8"/>
      <c r="I667" s="4"/>
    </row>
    <row r="668" spans="1:9" x14ac:dyDescent="0.2">
      <c r="A668" s="1" t="s">
        <v>30</v>
      </c>
      <c r="C668" s="4"/>
      <c r="D668" s="8"/>
      <c r="E668" s="4"/>
      <c r="F668" s="8"/>
      <c r="G668" s="4"/>
      <c r="H668" s="8"/>
      <c r="I668" s="4"/>
    </row>
    <row r="669" spans="1:9" x14ac:dyDescent="0.2">
      <c r="A669" s="2">
        <v>1</v>
      </c>
      <c r="B669" s="1" t="s">
        <v>113</v>
      </c>
      <c r="C669" s="4">
        <v>186</v>
      </c>
      <c r="D669" s="8">
        <v>10.67</v>
      </c>
      <c r="E669" s="4">
        <v>143</v>
      </c>
      <c r="F669" s="8">
        <v>17.899999999999999</v>
      </c>
      <c r="G669" s="4">
        <v>43</v>
      </c>
      <c r="H669" s="8">
        <v>4.63</v>
      </c>
      <c r="I669" s="4">
        <v>0</v>
      </c>
    </row>
    <row r="670" spans="1:9" x14ac:dyDescent="0.2">
      <c r="A670" s="2">
        <v>2</v>
      </c>
      <c r="B670" s="1" t="s">
        <v>112</v>
      </c>
      <c r="C670" s="4">
        <v>174</v>
      </c>
      <c r="D670" s="8">
        <v>9.98</v>
      </c>
      <c r="E670" s="4">
        <v>156</v>
      </c>
      <c r="F670" s="8">
        <v>19.52</v>
      </c>
      <c r="G670" s="4">
        <v>18</v>
      </c>
      <c r="H670" s="8">
        <v>1.94</v>
      </c>
      <c r="I670" s="4">
        <v>0</v>
      </c>
    </row>
    <row r="671" spans="1:9" x14ac:dyDescent="0.2">
      <c r="A671" s="2">
        <v>3</v>
      </c>
      <c r="B671" s="1" t="s">
        <v>109</v>
      </c>
      <c r="C671" s="4">
        <v>150</v>
      </c>
      <c r="D671" s="8">
        <v>8.61</v>
      </c>
      <c r="E671" s="4">
        <v>51</v>
      </c>
      <c r="F671" s="8">
        <v>6.38</v>
      </c>
      <c r="G671" s="4">
        <v>99</v>
      </c>
      <c r="H671" s="8">
        <v>10.67</v>
      </c>
      <c r="I671" s="4">
        <v>0</v>
      </c>
    </row>
    <row r="672" spans="1:9" x14ac:dyDescent="0.2">
      <c r="A672" s="2">
        <v>4</v>
      </c>
      <c r="B672" s="1" t="s">
        <v>98</v>
      </c>
      <c r="C672" s="4">
        <v>124</v>
      </c>
      <c r="D672" s="8">
        <v>7.11</v>
      </c>
      <c r="E672" s="4">
        <v>29</v>
      </c>
      <c r="F672" s="8">
        <v>3.63</v>
      </c>
      <c r="G672" s="4">
        <v>95</v>
      </c>
      <c r="H672" s="8">
        <v>10.24</v>
      </c>
      <c r="I672" s="4">
        <v>0</v>
      </c>
    </row>
    <row r="673" spans="1:9" x14ac:dyDescent="0.2">
      <c r="A673" s="2">
        <v>5</v>
      </c>
      <c r="B673" s="1" t="s">
        <v>107</v>
      </c>
      <c r="C673" s="4">
        <v>106</v>
      </c>
      <c r="D673" s="8">
        <v>6.08</v>
      </c>
      <c r="E673" s="4">
        <v>43</v>
      </c>
      <c r="F673" s="8">
        <v>5.38</v>
      </c>
      <c r="G673" s="4">
        <v>63</v>
      </c>
      <c r="H673" s="8">
        <v>6.79</v>
      </c>
      <c r="I673" s="4">
        <v>0</v>
      </c>
    </row>
    <row r="674" spans="1:9" x14ac:dyDescent="0.2">
      <c r="A674" s="2">
        <v>6</v>
      </c>
      <c r="B674" s="1" t="s">
        <v>105</v>
      </c>
      <c r="C674" s="4">
        <v>90</v>
      </c>
      <c r="D674" s="8">
        <v>5.16</v>
      </c>
      <c r="E674" s="4">
        <v>57</v>
      </c>
      <c r="F674" s="8">
        <v>7.13</v>
      </c>
      <c r="G674" s="4">
        <v>33</v>
      </c>
      <c r="H674" s="8">
        <v>3.56</v>
      </c>
      <c r="I674" s="4">
        <v>0</v>
      </c>
    </row>
    <row r="675" spans="1:9" x14ac:dyDescent="0.2">
      <c r="A675" s="2">
        <v>7</v>
      </c>
      <c r="B675" s="1" t="s">
        <v>100</v>
      </c>
      <c r="C675" s="4">
        <v>81</v>
      </c>
      <c r="D675" s="8">
        <v>4.6500000000000004</v>
      </c>
      <c r="E675" s="4">
        <v>20</v>
      </c>
      <c r="F675" s="8">
        <v>2.5</v>
      </c>
      <c r="G675" s="4">
        <v>61</v>
      </c>
      <c r="H675" s="8">
        <v>6.57</v>
      </c>
      <c r="I675" s="4">
        <v>0</v>
      </c>
    </row>
    <row r="676" spans="1:9" x14ac:dyDescent="0.2">
      <c r="A676" s="2">
        <v>8</v>
      </c>
      <c r="B676" s="1" t="s">
        <v>110</v>
      </c>
      <c r="C676" s="4">
        <v>63</v>
      </c>
      <c r="D676" s="8">
        <v>3.61</v>
      </c>
      <c r="E676" s="4">
        <v>50</v>
      </c>
      <c r="F676" s="8">
        <v>6.26</v>
      </c>
      <c r="G676" s="4">
        <v>13</v>
      </c>
      <c r="H676" s="8">
        <v>1.4</v>
      </c>
      <c r="I676" s="4">
        <v>0</v>
      </c>
    </row>
    <row r="677" spans="1:9" x14ac:dyDescent="0.2">
      <c r="A677" s="2">
        <v>9</v>
      </c>
      <c r="B677" s="1" t="s">
        <v>114</v>
      </c>
      <c r="C677" s="4">
        <v>60</v>
      </c>
      <c r="D677" s="8">
        <v>3.44</v>
      </c>
      <c r="E677" s="4">
        <v>38</v>
      </c>
      <c r="F677" s="8">
        <v>4.76</v>
      </c>
      <c r="G677" s="4">
        <v>20</v>
      </c>
      <c r="H677" s="8">
        <v>2.16</v>
      </c>
      <c r="I677" s="4">
        <v>1</v>
      </c>
    </row>
    <row r="678" spans="1:9" x14ac:dyDescent="0.2">
      <c r="A678" s="2">
        <v>10</v>
      </c>
      <c r="B678" s="1" t="s">
        <v>104</v>
      </c>
      <c r="C678" s="4">
        <v>56</v>
      </c>
      <c r="D678" s="8">
        <v>3.21</v>
      </c>
      <c r="E678" s="4">
        <v>11</v>
      </c>
      <c r="F678" s="8">
        <v>1.38</v>
      </c>
      <c r="G678" s="4">
        <v>45</v>
      </c>
      <c r="H678" s="8">
        <v>4.8499999999999996</v>
      </c>
      <c r="I678" s="4">
        <v>0</v>
      </c>
    </row>
    <row r="679" spans="1:9" x14ac:dyDescent="0.2">
      <c r="A679" s="2">
        <v>10</v>
      </c>
      <c r="B679" s="1" t="s">
        <v>106</v>
      </c>
      <c r="C679" s="4">
        <v>56</v>
      </c>
      <c r="D679" s="8">
        <v>3.21</v>
      </c>
      <c r="E679" s="4">
        <v>32</v>
      </c>
      <c r="F679" s="8">
        <v>4.01</v>
      </c>
      <c r="G679" s="4">
        <v>24</v>
      </c>
      <c r="H679" s="8">
        <v>2.59</v>
      </c>
      <c r="I679" s="4">
        <v>0</v>
      </c>
    </row>
    <row r="680" spans="1:9" x14ac:dyDescent="0.2">
      <c r="A680" s="2">
        <v>12</v>
      </c>
      <c r="B680" s="1" t="s">
        <v>115</v>
      </c>
      <c r="C680" s="4">
        <v>53</v>
      </c>
      <c r="D680" s="8">
        <v>3.04</v>
      </c>
      <c r="E680" s="4">
        <v>47</v>
      </c>
      <c r="F680" s="8">
        <v>5.88</v>
      </c>
      <c r="G680" s="4">
        <v>6</v>
      </c>
      <c r="H680" s="8">
        <v>0.65</v>
      </c>
      <c r="I680" s="4">
        <v>0</v>
      </c>
    </row>
    <row r="681" spans="1:9" x14ac:dyDescent="0.2">
      <c r="A681" s="2">
        <v>13</v>
      </c>
      <c r="B681" s="1" t="s">
        <v>99</v>
      </c>
      <c r="C681" s="4">
        <v>51</v>
      </c>
      <c r="D681" s="8">
        <v>2.93</v>
      </c>
      <c r="E681" s="4">
        <v>18</v>
      </c>
      <c r="F681" s="8">
        <v>2.25</v>
      </c>
      <c r="G681" s="4">
        <v>33</v>
      </c>
      <c r="H681" s="8">
        <v>3.56</v>
      </c>
      <c r="I681" s="4">
        <v>0</v>
      </c>
    </row>
    <row r="682" spans="1:9" x14ac:dyDescent="0.2">
      <c r="A682" s="2">
        <v>13</v>
      </c>
      <c r="B682" s="1" t="s">
        <v>111</v>
      </c>
      <c r="C682" s="4">
        <v>51</v>
      </c>
      <c r="D682" s="8">
        <v>2.93</v>
      </c>
      <c r="E682" s="4">
        <v>18</v>
      </c>
      <c r="F682" s="8">
        <v>2.25</v>
      </c>
      <c r="G682" s="4">
        <v>33</v>
      </c>
      <c r="H682" s="8">
        <v>3.56</v>
      </c>
      <c r="I682" s="4">
        <v>0</v>
      </c>
    </row>
    <row r="683" spans="1:9" x14ac:dyDescent="0.2">
      <c r="A683" s="2">
        <v>15</v>
      </c>
      <c r="B683" s="1" t="s">
        <v>102</v>
      </c>
      <c r="C683" s="4">
        <v>35</v>
      </c>
      <c r="D683" s="8">
        <v>2.0099999999999998</v>
      </c>
      <c r="E683" s="4">
        <v>2</v>
      </c>
      <c r="F683" s="8">
        <v>0.25</v>
      </c>
      <c r="G683" s="4">
        <v>33</v>
      </c>
      <c r="H683" s="8">
        <v>3.56</v>
      </c>
      <c r="I683" s="4">
        <v>0</v>
      </c>
    </row>
    <row r="684" spans="1:9" x14ac:dyDescent="0.2">
      <c r="A684" s="2">
        <v>16</v>
      </c>
      <c r="B684" s="1" t="s">
        <v>103</v>
      </c>
      <c r="C684" s="4">
        <v>30</v>
      </c>
      <c r="D684" s="8">
        <v>1.72</v>
      </c>
      <c r="E684" s="4">
        <v>3</v>
      </c>
      <c r="F684" s="8">
        <v>0.38</v>
      </c>
      <c r="G684" s="4">
        <v>27</v>
      </c>
      <c r="H684" s="8">
        <v>2.91</v>
      </c>
      <c r="I684" s="4">
        <v>0</v>
      </c>
    </row>
    <row r="685" spans="1:9" x14ac:dyDescent="0.2">
      <c r="A685" s="2">
        <v>17</v>
      </c>
      <c r="B685" s="1" t="s">
        <v>117</v>
      </c>
      <c r="C685" s="4">
        <v>28</v>
      </c>
      <c r="D685" s="8">
        <v>1.61</v>
      </c>
      <c r="E685" s="4">
        <v>1</v>
      </c>
      <c r="F685" s="8">
        <v>0.13</v>
      </c>
      <c r="G685" s="4">
        <v>26</v>
      </c>
      <c r="H685" s="8">
        <v>2.8</v>
      </c>
      <c r="I685" s="4">
        <v>1</v>
      </c>
    </row>
    <row r="686" spans="1:9" x14ac:dyDescent="0.2">
      <c r="A686" s="2">
        <v>18</v>
      </c>
      <c r="B686" s="1" t="s">
        <v>101</v>
      </c>
      <c r="C686" s="4">
        <v>27</v>
      </c>
      <c r="D686" s="8">
        <v>1.55</v>
      </c>
      <c r="E686" s="4">
        <v>0</v>
      </c>
      <c r="F686" s="8">
        <v>0</v>
      </c>
      <c r="G686" s="4">
        <v>27</v>
      </c>
      <c r="H686" s="8">
        <v>2.91</v>
      </c>
      <c r="I686" s="4">
        <v>0</v>
      </c>
    </row>
    <row r="687" spans="1:9" x14ac:dyDescent="0.2">
      <c r="A687" s="2">
        <v>19</v>
      </c>
      <c r="B687" s="1" t="s">
        <v>108</v>
      </c>
      <c r="C687" s="4">
        <v>26</v>
      </c>
      <c r="D687" s="8">
        <v>1.49</v>
      </c>
      <c r="E687" s="4">
        <v>3</v>
      </c>
      <c r="F687" s="8">
        <v>0.38</v>
      </c>
      <c r="G687" s="4">
        <v>23</v>
      </c>
      <c r="H687" s="8">
        <v>2.48</v>
      </c>
      <c r="I687" s="4">
        <v>0</v>
      </c>
    </row>
    <row r="688" spans="1:9" x14ac:dyDescent="0.2">
      <c r="A688" s="2">
        <v>19</v>
      </c>
      <c r="B688" s="1" t="s">
        <v>118</v>
      </c>
      <c r="C688" s="4">
        <v>26</v>
      </c>
      <c r="D688" s="8">
        <v>1.49</v>
      </c>
      <c r="E688" s="4">
        <v>10</v>
      </c>
      <c r="F688" s="8">
        <v>1.25</v>
      </c>
      <c r="G688" s="4">
        <v>16</v>
      </c>
      <c r="H688" s="8">
        <v>1.72</v>
      </c>
      <c r="I688" s="4">
        <v>0</v>
      </c>
    </row>
    <row r="689" spans="1:9" x14ac:dyDescent="0.2">
      <c r="A689" s="1"/>
      <c r="C689" s="4"/>
      <c r="D689" s="8"/>
      <c r="E689" s="4"/>
      <c r="F689" s="8"/>
      <c r="G689" s="4"/>
      <c r="H689" s="8"/>
      <c r="I689" s="4"/>
    </row>
    <row r="690" spans="1:9" x14ac:dyDescent="0.2">
      <c r="A690" s="1" t="s">
        <v>31</v>
      </c>
      <c r="C690" s="4"/>
      <c r="D690" s="8"/>
      <c r="E690" s="4"/>
      <c r="F690" s="8"/>
      <c r="G690" s="4"/>
      <c r="H690" s="8"/>
      <c r="I690" s="4"/>
    </row>
    <row r="691" spans="1:9" x14ac:dyDescent="0.2">
      <c r="A691" s="2">
        <v>1</v>
      </c>
      <c r="B691" s="1" t="s">
        <v>113</v>
      </c>
      <c r="C691" s="4">
        <v>228</v>
      </c>
      <c r="D691" s="8">
        <v>11.69</v>
      </c>
      <c r="E691" s="4">
        <v>184</v>
      </c>
      <c r="F691" s="8">
        <v>19.21</v>
      </c>
      <c r="G691" s="4">
        <v>44</v>
      </c>
      <c r="H691" s="8">
        <v>4.5599999999999996</v>
      </c>
      <c r="I691" s="4">
        <v>0</v>
      </c>
    </row>
    <row r="692" spans="1:9" x14ac:dyDescent="0.2">
      <c r="A692" s="2">
        <v>2</v>
      </c>
      <c r="B692" s="1" t="s">
        <v>112</v>
      </c>
      <c r="C692" s="4">
        <v>197</v>
      </c>
      <c r="D692" s="8">
        <v>10.1</v>
      </c>
      <c r="E692" s="4">
        <v>184</v>
      </c>
      <c r="F692" s="8">
        <v>19.21</v>
      </c>
      <c r="G692" s="4">
        <v>13</v>
      </c>
      <c r="H692" s="8">
        <v>1.35</v>
      </c>
      <c r="I692" s="4">
        <v>0</v>
      </c>
    </row>
    <row r="693" spans="1:9" x14ac:dyDescent="0.2">
      <c r="A693" s="2">
        <v>3</v>
      </c>
      <c r="B693" s="1" t="s">
        <v>109</v>
      </c>
      <c r="C693" s="4">
        <v>193</v>
      </c>
      <c r="D693" s="8">
        <v>9.9</v>
      </c>
      <c r="E693" s="4">
        <v>82</v>
      </c>
      <c r="F693" s="8">
        <v>8.56</v>
      </c>
      <c r="G693" s="4">
        <v>110</v>
      </c>
      <c r="H693" s="8">
        <v>11.4</v>
      </c>
      <c r="I693" s="4">
        <v>0</v>
      </c>
    </row>
    <row r="694" spans="1:9" x14ac:dyDescent="0.2">
      <c r="A694" s="2">
        <v>4</v>
      </c>
      <c r="B694" s="1" t="s">
        <v>99</v>
      </c>
      <c r="C694" s="4">
        <v>108</v>
      </c>
      <c r="D694" s="8">
        <v>5.54</v>
      </c>
      <c r="E694" s="4">
        <v>28</v>
      </c>
      <c r="F694" s="8">
        <v>2.92</v>
      </c>
      <c r="G694" s="4">
        <v>80</v>
      </c>
      <c r="H694" s="8">
        <v>8.2899999999999991</v>
      </c>
      <c r="I694" s="4">
        <v>0</v>
      </c>
    </row>
    <row r="695" spans="1:9" x14ac:dyDescent="0.2">
      <c r="A695" s="2">
        <v>5</v>
      </c>
      <c r="B695" s="1" t="s">
        <v>98</v>
      </c>
      <c r="C695" s="4">
        <v>107</v>
      </c>
      <c r="D695" s="8">
        <v>5.49</v>
      </c>
      <c r="E695" s="4">
        <v>22</v>
      </c>
      <c r="F695" s="8">
        <v>2.2999999999999998</v>
      </c>
      <c r="G695" s="4">
        <v>85</v>
      </c>
      <c r="H695" s="8">
        <v>8.81</v>
      </c>
      <c r="I695" s="4">
        <v>0</v>
      </c>
    </row>
    <row r="696" spans="1:9" x14ac:dyDescent="0.2">
      <c r="A696" s="2">
        <v>6</v>
      </c>
      <c r="B696" s="1" t="s">
        <v>114</v>
      </c>
      <c r="C696" s="4">
        <v>104</v>
      </c>
      <c r="D696" s="8">
        <v>5.33</v>
      </c>
      <c r="E696" s="4">
        <v>69</v>
      </c>
      <c r="F696" s="8">
        <v>7.2</v>
      </c>
      <c r="G696" s="4">
        <v>21</v>
      </c>
      <c r="H696" s="8">
        <v>2.1800000000000002</v>
      </c>
      <c r="I696" s="4">
        <v>14</v>
      </c>
    </row>
    <row r="697" spans="1:9" x14ac:dyDescent="0.2">
      <c r="A697" s="2">
        <v>7</v>
      </c>
      <c r="B697" s="1" t="s">
        <v>107</v>
      </c>
      <c r="C697" s="4">
        <v>90</v>
      </c>
      <c r="D697" s="8">
        <v>4.62</v>
      </c>
      <c r="E697" s="4">
        <v>42</v>
      </c>
      <c r="F697" s="8">
        <v>4.38</v>
      </c>
      <c r="G697" s="4">
        <v>48</v>
      </c>
      <c r="H697" s="8">
        <v>4.97</v>
      </c>
      <c r="I697" s="4">
        <v>0</v>
      </c>
    </row>
    <row r="698" spans="1:9" x14ac:dyDescent="0.2">
      <c r="A698" s="2">
        <v>8</v>
      </c>
      <c r="B698" s="1" t="s">
        <v>100</v>
      </c>
      <c r="C698" s="4">
        <v>84</v>
      </c>
      <c r="D698" s="8">
        <v>4.3099999999999996</v>
      </c>
      <c r="E698" s="4">
        <v>17</v>
      </c>
      <c r="F698" s="8">
        <v>1.77</v>
      </c>
      <c r="G698" s="4">
        <v>67</v>
      </c>
      <c r="H698" s="8">
        <v>6.94</v>
      </c>
      <c r="I698" s="4">
        <v>0</v>
      </c>
    </row>
    <row r="699" spans="1:9" x14ac:dyDescent="0.2">
      <c r="A699" s="2">
        <v>9</v>
      </c>
      <c r="B699" s="1" t="s">
        <v>105</v>
      </c>
      <c r="C699" s="4">
        <v>73</v>
      </c>
      <c r="D699" s="8">
        <v>3.74</v>
      </c>
      <c r="E699" s="4">
        <v>49</v>
      </c>
      <c r="F699" s="8">
        <v>5.1100000000000003</v>
      </c>
      <c r="G699" s="4">
        <v>21</v>
      </c>
      <c r="H699" s="8">
        <v>2.1800000000000002</v>
      </c>
      <c r="I699" s="4">
        <v>3</v>
      </c>
    </row>
    <row r="700" spans="1:9" x14ac:dyDescent="0.2">
      <c r="A700" s="2">
        <v>10</v>
      </c>
      <c r="B700" s="1" t="s">
        <v>106</v>
      </c>
      <c r="C700" s="4">
        <v>61</v>
      </c>
      <c r="D700" s="8">
        <v>3.13</v>
      </c>
      <c r="E700" s="4">
        <v>42</v>
      </c>
      <c r="F700" s="8">
        <v>4.38</v>
      </c>
      <c r="G700" s="4">
        <v>19</v>
      </c>
      <c r="H700" s="8">
        <v>1.97</v>
      </c>
      <c r="I700" s="4">
        <v>0</v>
      </c>
    </row>
    <row r="701" spans="1:9" x14ac:dyDescent="0.2">
      <c r="A701" s="2">
        <v>11</v>
      </c>
      <c r="B701" s="1" t="s">
        <v>115</v>
      </c>
      <c r="C701" s="4">
        <v>60</v>
      </c>
      <c r="D701" s="8">
        <v>3.08</v>
      </c>
      <c r="E701" s="4">
        <v>51</v>
      </c>
      <c r="F701" s="8">
        <v>5.32</v>
      </c>
      <c r="G701" s="4">
        <v>9</v>
      </c>
      <c r="H701" s="8">
        <v>0.93</v>
      </c>
      <c r="I701" s="4">
        <v>0</v>
      </c>
    </row>
    <row r="702" spans="1:9" x14ac:dyDescent="0.2">
      <c r="A702" s="2">
        <v>12</v>
      </c>
      <c r="B702" s="1" t="s">
        <v>110</v>
      </c>
      <c r="C702" s="4">
        <v>56</v>
      </c>
      <c r="D702" s="8">
        <v>2.87</v>
      </c>
      <c r="E702" s="4">
        <v>25</v>
      </c>
      <c r="F702" s="8">
        <v>2.61</v>
      </c>
      <c r="G702" s="4">
        <v>30</v>
      </c>
      <c r="H702" s="8">
        <v>3.11</v>
      </c>
      <c r="I702" s="4">
        <v>1</v>
      </c>
    </row>
    <row r="703" spans="1:9" x14ac:dyDescent="0.2">
      <c r="A703" s="2">
        <v>13</v>
      </c>
      <c r="B703" s="1" t="s">
        <v>111</v>
      </c>
      <c r="C703" s="4">
        <v>50</v>
      </c>
      <c r="D703" s="8">
        <v>2.56</v>
      </c>
      <c r="E703" s="4">
        <v>21</v>
      </c>
      <c r="F703" s="8">
        <v>2.19</v>
      </c>
      <c r="G703" s="4">
        <v>29</v>
      </c>
      <c r="H703" s="8">
        <v>3.01</v>
      </c>
      <c r="I703" s="4">
        <v>0</v>
      </c>
    </row>
    <row r="704" spans="1:9" x14ac:dyDescent="0.2">
      <c r="A704" s="2">
        <v>14</v>
      </c>
      <c r="B704" s="1" t="s">
        <v>103</v>
      </c>
      <c r="C704" s="4">
        <v>44</v>
      </c>
      <c r="D704" s="8">
        <v>2.2599999999999998</v>
      </c>
      <c r="E704" s="4">
        <v>11</v>
      </c>
      <c r="F704" s="8">
        <v>1.1499999999999999</v>
      </c>
      <c r="G704" s="4">
        <v>33</v>
      </c>
      <c r="H704" s="8">
        <v>3.42</v>
      </c>
      <c r="I704" s="4">
        <v>0</v>
      </c>
    </row>
    <row r="705" spans="1:9" x14ac:dyDescent="0.2">
      <c r="A705" s="2">
        <v>15</v>
      </c>
      <c r="B705" s="1" t="s">
        <v>102</v>
      </c>
      <c r="C705" s="4">
        <v>41</v>
      </c>
      <c r="D705" s="8">
        <v>2.1</v>
      </c>
      <c r="E705" s="4">
        <v>3</v>
      </c>
      <c r="F705" s="8">
        <v>0.31</v>
      </c>
      <c r="G705" s="4">
        <v>38</v>
      </c>
      <c r="H705" s="8">
        <v>3.94</v>
      </c>
      <c r="I705" s="4">
        <v>0</v>
      </c>
    </row>
    <row r="706" spans="1:9" x14ac:dyDescent="0.2">
      <c r="A706" s="2">
        <v>16</v>
      </c>
      <c r="B706" s="1" t="s">
        <v>104</v>
      </c>
      <c r="C706" s="4">
        <v>37</v>
      </c>
      <c r="D706" s="8">
        <v>1.9</v>
      </c>
      <c r="E706" s="4">
        <v>15</v>
      </c>
      <c r="F706" s="8">
        <v>1.57</v>
      </c>
      <c r="G706" s="4">
        <v>21</v>
      </c>
      <c r="H706" s="8">
        <v>2.1800000000000002</v>
      </c>
      <c r="I706" s="4">
        <v>1</v>
      </c>
    </row>
    <row r="707" spans="1:9" x14ac:dyDescent="0.2">
      <c r="A707" s="2">
        <v>17</v>
      </c>
      <c r="B707" s="1" t="s">
        <v>126</v>
      </c>
      <c r="C707" s="4">
        <v>34</v>
      </c>
      <c r="D707" s="8">
        <v>1.74</v>
      </c>
      <c r="E707" s="4">
        <v>3</v>
      </c>
      <c r="F707" s="8">
        <v>0.31</v>
      </c>
      <c r="G707" s="4">
        <v>30</v>
      </c>
      <c r="H707" s="8">
        <v>3.11</v>
      </c>
      <c r="I707" s="4">
        <v>1</v>
      </c>
    </row>
    <row r="708" spans="1:9" x14ac:dyDescent="0.2">
      <c r="A708" s="2">
        <v>18</v>
      </c>
      <c r="B708" s="1" t="s">
        <v>101</v>
      </c>
      <c r="C708" s="4">
        <v>33</v>
      </c>
      <c r="D708" s="8">
        <v>1.69</v>
      </c>
      <c r="E708" s="4">
        <v>7</v>
      </c>
      <c r="F708" s="8">
        <v>0.73</v>
      </c>
      <c r="G708" s="4">
        <v>26</v>
      </c>
      <c r="H708" s="8">
        <v>2.69</v>
      </c>
      <c r="I708" s="4">
        <v>0</v>
      </c>
    </row>
    <row r="709" spans="1:9" x14ac:dyDescent="0.2">
      <c r="A709" s="2">
        <v>18</v>
      </c>
      <c r="B709" s="1" t="s">
        <v>118</v>
      </c>
      <c r="C709" s="4">
        <v>33</v>
      </c>
      <c r="D709" s="8">
        <v>1.69</v>
      </c>
      <c r="E709" s="4">
        <v>15</v>
      </c>
      <c r="F709" s="8">
        <v>1.57</v>
      </c>
      <c r="G709" s="4">
        <v>18</v>
      </c>
      <c r="H709" s="8">
        <v>1.87</v>
      </c>
      <c r="I709" s="4">
        <v>0</v>
      </c>
    </row>
    <row r="710" spans="1:9" x14ac:dyDescent="0.2">
      <c r="A710" s="2">
        <v>20</v>
      </c>
      <c r="B710" s="1" t="s">
        <v>124</v>
      </c>
      <c r="C710" s="4">
        <v>31</v>
      </c>
      <c r="D710" s="8">
        <v>1.59</v>
      </c>
      <c r="E710" s="4">
        <v>4</v>
      </c>
      <c r="F710" s="8">
        <v>0.42</v>
      </c>
      <c r="G710" s="4">
        <v>27</v>
      </c>
      <c r="H710" s="8">
        <v>2.8</v>
      </c>
      <c r="I710" s="4">
        <v>0</v>
      </c>
    </row>
    <row r="711" spans="1:9" x14ac:dyDescent="0.2">
      <c r="A711" s="1"/>
      <c r="C711" s="4"/>
      <c r="D711" s="8"/>
      <c r="E711" s="4"/>
      <c r="F711" s="8"/>
      <c r="G711" s="4"/>
      <c r="H711" s="8"/>
      <c r="I711" s="4"/>
    </row>
    <row r="712" spans="1:9" x14ac:dyDescent="0.2">
      <c r="A712" s="1" t="s">
        <v>32</v>
      </c>
      <c r="C712" s="4"/>
      <c r="D712" s="8"/>
      <c r="E712" s="4"/>
      <c r="F712" s="8"/>
      <c r="G712" s="4"/>
      <c r="H712" s="8"/>
      <c r="I712" s="4"/>
    </row>
    <row r="713" spans="1:9" x14ac:dyDescent="0.2">
      <c r="A713" s="2">
        <v>1</v>
      </c>
      <c r="B713" s="1" t="s">
        <v>109</v>
      </c>
      <c r="C713" s="4">
        <v>223</v>
      </c>
      <c r="D713" s="8">
        <v>10.14</v>
      </c>
      <c r="E713" s="4">
        <v>110</v>
      </c>
      <c r="F713" s="8">
        <v>12.57</v>
      </c>
      <c r="G713" s="4">
        <v>113</v>
      </c>
      <c r="H713" s="8">
        <v>8.7100000000000009</v>
      </c>
      <c r="I713" s="4">
        <v>0</v>
      </c>
    </row>
    <row r="714" spans="1:9" x14ac:dyDescent="0.2">
      <c r="A714" s="2">
        <v>2</v>
      </c>
      <c r="B714" s="1" t="s">
        <v>113</v>
      </c>
      <c r="C714" s="4">
        <v>183</v>
      </c>
      <c r="D714" s="8">
        <v>8.32</v>
      </c>
      <c r="E714" s="4">
        <v>133</v>
      </c>
      <c r="F714" s="8">
        <v>15.2</v>
      </c>
      <c r="G714" s="4">
        <v>50</v>
      </c>
      <c r="H714" s="8">
        <v>3.86</v>
      </c>
      <c r="I714" s="4">
        <v>0</v>
      </c>
    </row>
    <row r="715" spans="1:9" x14ac:dyDescent="0.2">
      <c r="A715" s="2">
        <v>3</v>
      </c>
      <c r="B715" s="1" t="s">
        <v>98</v>
      </c>
      <c r="C715" s="4">
        <v>151</v>
      </c>
      <c r="D715" s="8">
        <v>6.86</v>
      </c>
      <c r="E715" s="4">
        <v>21</v>
      </c>
      <c r="F715" s="8">
        <v>2.4</v>
      </c>
      <c r="G715" s="4">
        <v>130</v>
      </c>
      <c r="H715" s="8">
        <v>10.02</v>
      </c>
      <c r="I715" s="4">
        <v>0</v>
      </c>
    </row>
    <row r="716" spans="1:9" x14ac:dyDescent="0.2">
      <c r="A716" s="2">
        <v>4</v>
      </c>
      <c r="B716" s="1" t="s">
        <v>99</v>
      </c>
      <c r="C716" s="4">
        <v>126</v>
      </c>
      <c r="D716" s="8">
        <v>5.73</v>
      </c>
      <c r="E716" s="4">
        <v>34</v>
      </c>
      <c r="F716" s="8">
        <v>3.89</v>
      </c>
      <c r="G716" s="4">
        <v>92</v>
      </c>
      <c r="H716" s="8">
        <v>7.09</v>
      </c>
      <c r="I716" s="4">
        <v>0</v>
      </c>
    </row>
    <row r="717" spans="1:9" x14ac:dyDescent="0.2">
      <c r="A717" s="2">
        <v>5</v>
      </c>
      <c r="B717" s="1" t="s">
        <v>112</v>
      </c>
      <c r="C717" s="4">
        <v>113</v>
      </c>
      <c r="D717" s="8">
        <v>5.14</v>
      </c>
      <c r="E717" s="4">
        <v>102</v>
      </c>
      <c r="F717" s="8">
        <v>11.66</v>
      </c>
      <c r="G717" s="4">
        <v>11</v>
      </c>
      <c r="H717" s="8">
        <v>0.85</v>
      </c>
      <c r="I717" s="4">
        <v>0</v>
      </c>
    </row>
    <row r="718" spans="1:9" x14ac:dyDescent="0.2">
      <c r="A718" s="2">
        <v>6</v>
      </c>
      <c r="B718" s="1" t="s">
        <v>102</v>
      </c>
      <c r="C718" s="4">
        <v>102</v>
      </c>
      <c r="D718" s="8">
        <v>4.6399999999999997</v>
      </c>
      <c r="E718" s="4">
        <v>7</v>
      </c>
      <c r="F718" s="8">
        <v>0.8</v>
      </c>
      <c r="G718" s="4">
        <v>95</v>
      </c>
      <c r="H718" s="8">
        <v>7.32</v>
      </c>
      <c r="I718" s="4">
        <v>0</v>
      </c>
    </row>
    <row r="719" spans="1:9" x14ac:dyDescent="0.2">
      <c r="A719" s="2">
        <v>7</v>
      </c>
      <c r="B719" s="1" t="s">
        <v>106</v>
      </c>
      <c r="C719" s="4">
        <v>93</v>
      </c>
      <c r="D719" s="8">
        <v>4.2300000000000004</v>
      </c>
      <c r="E719" s="4">
        <v>51</v>
      </c>
      <c r="F719" s="8">
        <v>5.83</v>
      </c>
      <c r="G719" s="4">
        <v>42</v>
      </c>
      <c r="H719" s="8">
        <v>3.24</v>
      </c>
      <c r="I719" s="4">
        <v>0</v>
      </c>
    </row>
    <row r="720" spans="1:9" x14ac:dyDescent="0.2">
      <c r="A720" s="2">
        <v>8</v>
      </c>
      <c r="B720" s="1" t="s">
        <v>100</v>
      </c>
      <c r="C720" s="4">
        <v>88</v>
      </c>
      <c r="D720" s="8">
        <v>4</v>
      </c>
      <c r="E720" s="4">
        <v>12</v>
      </c>
      <c r="F720" s="8">
        <v>1.37</v>
      </c>
      <c r="G720" s="4">
        <v>76</v>
      </c>
      <c r="H720" s="8">
        <v>5.86</v>
      </c>
      <c r="I720" s="4">
        <v>0</v>
      </c>
    </row>
    <row r="721" spans="1:9" x14ac:dyDescent="0.2">
      <c r="A721" s="2">
        <v>9</v>
      </c>
      <c r="B721" s="1" t="s">
        <v>114</v>
      </c>
      <c r="C721" s="4">
        <v>87</v>
      </c>
      <c r="D721" s="8">
        <v>3.95</v>
      </c>
      <c r="E721" s="4">
        <v>46</v>
      </c>
      <c r="F721" s="8">
        <v>5.26</v>
      </c>
      <c r="G721" s="4">
        <v>16</v>
      </c>
      <c r="H721" s="8">
        <v>1.23</v>
      </c>
      <c r="I721" s="4">
        <v>25</v>
      </c>
    </row>
    <row r="722" spans="1:9" x14ac:dyDescent="0.2">
      <c r="A722" s="2">
        <v>10</v>
      </c>
      <c r="B722" s="1" t="s">
        <v>107</v>
      </c>
      <c r="C722" s="4">
        <v>85</v>
      </c>
      <c r="D722" s="8">
        <v>3.86</v>
      </c>
      <c r="E722" s="4">
        <v>32</v>
      </c>
      <c r="F722" s="8">
        <v>3.66</v>
      </c>
      <c r="G722" s="4">
        <v>53</v>
      </c>
      <c r="H722" s="8">
        <v>4.09</v>
      </c>
      <c r="I722" s="4">
        <v>0</v>
      </c>
    </row>
    <row r="723" spans="1:9" x14ac:dyDescent="0.2">
      <c r="A723" s="2">
        <v>11</v>
      </c>
      <c r="B723" s="1" t="s">
        <v>105</v>
      </c>
      <c r="C723" s="4">
        <v>72</v>
      </c>
      <c r="D723" s="8">
        <v>3.27</v>
      </c>
      <c r="E723" s="4">
        <v>47</v>
      </c>
      <c r="F723" s="8">
        <v>5.37</v>
      </c>
      <c r="G723" s="4">
        <v>24</v>
      </c>
      <c r="H723" s="8">
        <v>1.85</v>
      </c>
      <c r="I723" s="4">
        <v>1</v>
      </c>
    </row>
    <row r="724" spans="1:9" x14ac:dyDescent="0.2">
      <c r="A724" s="2">
        <v>12</v>
      </c>
      <c r="B724" s="1" t="s">
        <v>115</v>
      </c>
      <c r="C724" s="4">
        <v>71</v>
      </c>
      <c r="D724" s="8">
        <v>3.23</v>
      </c>
      <c r="E724" s="4">
        <v>63</v>
      </c>
      <c r="F724" s="8">
        <v>7.2</v>
      </c>
      <c r="G724" s="4">
        <v>8</v>
      </c>
      <c r="H724" s="8">
        <v>0.62</v>
      </c>
      <c r="I724" s="4">
        <v>0</v>
      </c>
    </row>
    <row r="725" spans="1:9" x14ac:dyDescent="0.2">
      <c r="A725" s="2">
        <v>13</v>
      </c>
      <c r="B725" s="1" t="s">
        <v>119</v>
      </c>
      <c r="C725" s="4">
        <v>70</v>
      </c>
      <c r="D725" s="8">
        <v>3.18</v>
      </c>
      <c r="E725" s="4">
        <v>24</v>
      </c>
      <c r="F725" s="8">
        <v>2.74</v>
      </c>
      <c r="G725" s="4">
        <v>46</v>
      </c>
      <c r="H725" s="8">
        <v>3.55</v>
      </c>
      <c r="I725" s="4">
        <v>0</v>
      </c>
    </row>
    <row r="726" spans="1:9" x14ac:dyDescent="0.2">
      <c r="A726" s="2">
        <v>14</v>
      </c>
      <c r="B726" s="1" t="s">
        <v>123</v>
      </c>
      <c r="C726" s="4">
        <v>51</v>
      </c>
      <c r="D726" s="8">
        <v>2.3199999999999998</v>
      </c>
      <c r="E726" s="4">
        <v>34</v>
      </c>
      <c r="F726" s="8">
        <v>3.89</v>
      </c>
      <c r="G726" s="4">
        <v>17</v>
      </c>
      <c r="H726" s="8">
        <v>1.31</v>
      </c>
      <c r="I726" s="4">
        <v>0</v>
      </c>
    </row>
    <row r="727" spans="1:9" x14ac:dyDescent="0.2">
      <c r="A727" s="2">
        <v>15</v>
      </c>
      <c r="B727" s="1" t="s">
        <v>111</v>
      </c>
      <c r="C727" s="4">
        <v>48</v>
      </c>
      <c r="D727" s="8">
        <v>2.1800000000000002</v>
      </c>
      <c r="E727" s="4">
        <v>14</v>
      </c>
      <c r="F727" s="8">
        <v>1.6</v>
      </c>
      <c r="G727" s="4">
        <v>34</v>
      </c>
      <c r="H727" s="8">
        <v>2.62</v>
      </c>
      <c r="I727" s="4">
        <v>0</v>
      </c>
    </row>
    <row r="728" spans="1:9" x14ac:dyDescent="0.2">
      <c r="A728" s="2">
        <v>16</v>
      </c>
      <c r="B728" s="1" t="s">
        <v>103</v>
      </c>
      <c r="C728" s="4">
        <v>45</v>
      </c>
      <c r="D728" s="8">
        <v>2.0499999999999998</v>
      </c>
      <c r="E728" s="4">
        <v>6</v>
      </c>
      <c r="F728" s="8">
        <v>0.69</v>
      </c>
      <c r="G728" s="4">
        <v>39</v>
      </c>
      <c r="H728" s="8">
        <v>3.01</v>
      </c>
      <c r="I728" s="4">
        <v>0</v>
      </c>
    </row>
    <row r="729" spans="1:9" x14ac:dyDescent="0.2">
      <c r="A729" s="2">
        <v>17</v>
      </c>
      <c r="B729" s="1" t="s">
        <v>110</v>
      </c>
      <c r="C729" s="4">
        <v>43</v>
      </c>
      <c r="D729" s="8">
        <v>1.95</v>
      </c>
      <c r="E729" s="4">
        <v>20</v>
      </c>
      <c r="F729" s="8">
        <v>2.29</v>
      </c>
      <c r="G729" s="4">
        <v>23</v>
      </c>
      <c r="H729" s="8">
        <v>1.77</v>
      </c>
      <c r="I729" s="4">
        <v>0</v>
      </c>
    </row>
    <row r="730" spans="1:9" x14ac:dyDescent="0.2">
      <c r="A730" s="2">
        <v>18</v>
      </c>
      <c r="B730" s="1" t="s">
        <v>101</v>
      </c>
      <c r="C730" s="4">
        <v>42</v>
      </c>
      <c r="D730" s="8">
        <v>1.91</v>
      </c>
      <c r="E730" s="4">
        <v>4</v>
      </c>
      <c r="F730" s="8">
        <v>0.46</v>
      </c>
      <c r="G730" s="4">
        <v>38</v>
      </c>
      <c r="H730" s="8">
        <v>2.93</v>
      </c>
      <c r="I730" s="4">
        <v>0</v>
      </c>
    </row>
    <row r="731" spans="1:9" x14ac:dyDescent="0.2">
      <c r="A731" s="2">
        <v>19</v>
      </c>
      <c r="B731" s="1" t="s">
        <v>108</v>
      </c>
      <c r="C731" s="4">
        <v>40</v>
      </c>
      <c r="D731" s="8">
        <v>1.82</v>
      </c>
      <c r="E731" s="4">
        <v>8</v>
      </c>
      <c r="F731" s="8">
        <v>0.91</v>
      </c>
      <c r="G731" s="4">
        <v>32</v>
      </c>
      <c r="H731" s="8">
        <v>2.4700000000000002</v>
      </c>
      <c r="I731" s="4">
        <v>0</v>
      </c>
    </row>
    <row r="732" spans="1:9" x14ac:dyDescent="0.2">
      <c r="A732" s="2">
        <v>20</v>
      </c>
      <c r="B732" s="1" t="s">
        <v>126</v>
      </c>
      <c r="C732" s="4">
        <v>34</v>
      </c>
      <c r="D732" s="8">
        <v>1.55</v>
      </c>
      <c r="E732" s="4">
        <v>5</v>
      </c>
      <c r="F732" s="8">
        <v>0.56999999999999995</v>
      </c>
      <c r="G732" s="4">
        <v>29</v>
      </c>
      <c r="H732" s="8">
        <v>2.2400000000000002</v>
      </c>
      <c r="I732" s="4">
        <v>0</v>
      </c>
    </row>
    <row r="733" spans="1:9" x14ac:dyDescent="0.2">
      <c r="A733" s="1"/>
      <c r="C733" s="4"/>
      <c r="D733" s="8"/>
      <c r="E733" s="4"/>
      <c r="F733" s="8"/>
      <c r="G733" s="4"/>
      <c r="H733" s="8"/>
      <c r="I733" s="4"/>
    </row>
    <row r="734" spans="1:9" x14ac:dyDescent="0.2">
      <c r="A734" s="1" t="s">
        <v>33</v>
      </c>
      <c r="C734" s="4"/>
      <c r="D734" s="8"/>
      <c r="E734" s="4"/>
      <c r="F734" s="8"/>
      <c r="G734" s="4"/>
      <c r="H734" s="8"/>
      <c r="I734" s="4"/>
    </row>
    <row r="735" spans="1:9" x14ac:dyDescent="0.2">
      <c r="A735" s="2">
        <v>1</v>
      </c>
      <c r="B735" s="1" t="s">
        <v>113</v>
      </c>
      <c r="C735" s="4">
        <v>174</v>
      </c>
      <c r="D735" s="8">
        <v>12.57</v>
      </c>
      <c r="E735" s="4">
        <v>146</v>
      </c>
      <c r="F735" s="8">
        <v>19.7</v>
      </c>
      <c r="G735" s="4">
        <v>28</v>
      </c>
      <c r="H735" s="8">
        <v>4.38</v>
      </c>
      <c r="I735" s="4">
        <v>0</v>
      </c>
    </row>
    <row r="736" spans="1:9" x14ac:dyDescent="0.2">
      <c r="A736" s="2">
        <v>2</v>
      </c>
      <c r="B736" s="1" t="s">
        <v>112</v>
      </c>
      <c r="C736" s="4">
        <v>136</v>
      </c>
      <c r="D736" s="8">
        <v>9.83</v>
      </c>
      <c r="E736" s="4">
        <v>122</v>
      </c>
      <c r="F736" s="8">
        <v>16.46</v>
      </c>
      <c r="G736" s="4">
        <v>14</v>
      </c>
      <c r="H736" s="8">
        <v>2.19</v>
      </c>
      <c r="I736" s="4">
        <v>0</v>
      </c>
    </row>
    <row r="737" spans="1:9" x14ac:dyDescent="0.2">
      <c r="A737" s="2">
        <v>3</v>
      </c>
      <c r="B737" s="1" t="s">
        <v>98</v>
      </c>
      <c r="C737" s="4">
        <v>122</v>
      </c>
      <c r="D737" s="8">
        <v>8.82</v>
      </c>
      <c r="E737" s="4">
        <v>17</v>
      </c>
      <c r="F737" s="8">
        <v>2.29</v>
      </c>
      <c r="G737" s="4">
        <v>105</v>
      </c>
      <c r="H737" s="8">
        <v>16.43</v>
      </c>
      <c r="I737" s="4">
        <v>0</v>
      </c>
    </row>
    <row r="738" spans="1:9" x14ac:dyDescent="0.2">
      <c r="A738" s="2">
        <v>4</v>
      </c>
      <c r="B738" s="1" t="s">
        <v>107</v>
      </c>
      <c r="C738" s="4">
        <v>100</v>
      </c>
      <c r="D738" s="8">
        <v>7.23</v>
      </c>
      <c r="E738" s="4">
        <v>60</v>
      </c>
      <c r="F738" s="8">
        <v>8.1</v>
      </c>
      <c r="G738" s="4">
        <v>40</v>
      </c>
      <c r="H738" s="8">
        <v>6.26</v>
      </c>
      <c r="I738" s="4">
        <v>0</v>
      </c>
    </row>
    <row r="739" spans="1:9" x14ac:dyDescent="0.2">
      <c r="A739" s="2">
        <v>5</v>
      </c>
      <c r="B739" s="1" t="s">
        <v>109</v>
      </c>
      <c r="C739" s="4">
        <v>75</v>
      </c>
      <c r="D739" s="8">
        <v>5.42</v>
      </c>
      <c r="E739" s="4">
        <v>16</v>
      </c>
      <c r="F739" s="8">
        <v>2.16</v>
      </c>
      <c r="G739" s="4">
        <v>59</v>
      </c>
      <c r="H739" s="8">
        <v>9.23</v>
      </c>
      <c r="I739" s="4">
        <v>0</v>
      </c>
    </row>
    <row r="740" spans="1:9" x14ac:dyDescent="0.2">
      <c r="A740" s="2">
        <v>6</v>
      </c>
      <c r="B740" s="1" t="s">
        <v>105</v>
      </c>
      <c r="C740" s="4">
        <v>73</v>
      </c>
      <c r="D740" s="8">
        <v>5.27</v>
      </c>
      <c r="E740" s="4">
        <v>59</v>
      </c>
      <c r="F740" s="8">
        <v>7.96</v>
      </c>
      <c r="G740" s="4">
        <v>14</v>
      </c>
      <c r="H740" s="8">
        <v>2.19</v>
      </c>
      <c r="I740" s="4">
        <v>0</v>
      </c>
    </row>
    <row r="741" spans="1:9" x14ac:dyDescent="0.2">
      <c r="A741" s="2">
        <v>7</v>
      </c>
      <c r="B741" s="1" t="s">
        <v>115</v>
      </c>
      <c r="C741" s="4">
        <v>58</v>
      </c>
      <c r="D741" s="8">
        <v>4.1900000000000004</v>
      </c>
      <c r="E741" s="4">
        <v>54</v>
      </c>
      <c r="F741" s="8">
        <v>7.29</v>
      </c>
      <c r="G741" s="4">
        <v>4</v>
      </c>
      <c r="H741" s="8">
        <v>0.63</v>
      </c>
      <c r="I741" s="4">
        <v>0</v>
      </c>
    </row>
    <row r="742" spans="1:9" x14ac:dyDescent="0.2">
      <c r="A742" s="2">
        <v>8</v>
      </c>
      <c r="B742" s="1" t="s">
        <v>114</v>
      </c>
      <c r="C742" s="4">
        <v>52</v>
      </c>
      <c r="D742" s="8">
        <v>3.76</v>
      </c>
      <c r="E742" s="4">
        <v>34</v>
      </c>
      <c r="F742" s="8">
        <v>4.59</v>
      </c>
      <c r="G742" s="4">
        <v>17</v>
      </c>
      <c r="H742" s="8">
        <v>2.66</v>
      </c>
      <c r="I742" s="4">
        <v>1</v>
      </c>
    </row>
    <row r="743" spans="1:9" x14ac:dyDescent="0.2">
      <c r="A743" s="2">
        <v>9</v>
      </c>
      <c r="B743" s="1" t="s">
        <v>110</v>
      </c>
      <c r="C743" s="4">
        <v>43</v>
      </c>
      <c r="D743" s="8">
        <v>3.11</v>
      </c>
      <c r="E743" s="4">
        <v>24</v>
      </c>
      <c r="F743" s="8">
        <v>3.24</v>
      </c>
      <c r="G743" s="4">
        <v>19</v>
      </c>
      <c r="H743" s="8">
        <v>2.97</v>
      </c>
      <c r="I743" s="4">
        <v>0</v>
      </c>
    </row>
    <row r="744" spans="1:9" x14ac:dyDescent="0.2">
      <c r="A744" s="2">
        <v>10</v>
      </c>
      <c r="B744" s="1" t="s">
        <v>99</v>
      </c>
      <c r="C744" s="4">
        <v>40</v>
      </c>
      <c r="D744" s="8">
        <v>2.89</v>
      </c>
      <c r="E744" s="4">
        <v>18</v>
      </c>
      <c r="F744" s="8">
        <v>2.4300000000000002</v>
      </c>
      <c r="G744" s="4">
        <v>22</v>
      </c>
      <c r="H744" s="8">
        <v>3.44</v>
      </c>
      <c r="I744" s="4">
        <v>0</v>
      </c>
    </row>
    <row r="745" spans="1:9" x14ac:dyDescent="0.2">
      <c r="A745" s="2">
        <v>11</v>
      </c>
      <c r="B745" s="1" t="s">
        <v>116</v>
      </c>
      <c r="C745" s="4">
        <v>36</v>
      </c>
      <c r="D745" s="8">
        <v>2.6</v>
      </c>
      <c r="E745" s="4">
        <v>1</v>
      </c>
      <c r="F745" s="8">
        <v>0.13</v>
      </c>
      <c r="G745" s="4">
        <v>35</v>
      </c>
      <c r="H745" s="8">
        <v>5.48</v>
      </c>
      <c r="I745" s="4">
        <v>0</v>
      </c>
    </row>
    <row r="746" spans="1:9" x14ac:dyDescent="0.2">
      <c r="A746" s="2">
        <v>12</v>
      </c>
      <c r="B746" s="1" t="s">
        <v>108</v>
      </c>
      <c r="C746" s="4">
        <v>34</v>
      </c>
      <c r="D746" s="8">
        <v>2.46</v>
      </c>
      <c r="E746" s="4">
        <v>8</v>
      </c>
      <c r="F746" s="8">
        <v>1.08</v>
      </c>
      <c r="G746" s="4">
        <v>26</v>
      </c>
      <c r="H746" s="8">
        <v>4.07</v>
      </c>
      <c r="I746" s="4">
        <v>0</v>
      </c>
    </row>
    <row r="747" spans="1:9" x14ac:dyDescent="0.2">
      <c r="A747" s="2">
        <v>13</v>
      </c>
      <c r="B747" s="1" t="s">
        <v>100</v>
      </c>
      <c r="C747" s="4">
        <v>33</v>
      </c>
      <c r="D747" s="8">
        <v>2.38</v>
      </c>
      <c r="E747" s="4">
        <v>8</v>
      </c>
      <c r="F747" s="8">
        <v>1.08</v>
      </c>
      <c r="G747" s="4">
        <v>25</v>
      </c>
      <c r="H747" s="8">
        <v>3.91</v>
      </c>
      <c r="I747" s="4">
        <v>0</v>
      </c>
    </row>
    <row r="748" spans="1:9" x14ac:dyDescent="0.2">
      <c r="A748" s="2">
        <v>14</v>
      </c>
      <c r="B748" s="1" t="s">
        <v>123</v>
      </c>
      <c r="C748" s="4">
        <v>31</v>
      </c>
      <c r="D748" s="8">
        <v>2.2400000000000002</v>
      </c>
      <c r="E748" s="4">
        <v>25</v>
      </c>
      <c r="F748" s="8">
        <v>3.37</v>
      </c>
      <c r="G748" s="4">
        <v>6</v>
      </c>
      <c r="H748" s="8">
        <v>0.94</v>
      </c>
      <c r="I748" s="4">
        <v>0</v>
      </c>
    </row>
    <row r="749" spans="1:9" x14ac:dyDescent="0.2">
      <c r="A749" s="2">
        <v>15</v>
      </c>
      <c r="B749" s="1" t="s">
        <v>106</v>
      </c>
      <c r="C749" s="4">
        <v>28</v>
      </c>
      <c r="D749" s="8">
        <v>2.02</v>
      </c>
      <c r="E749" s="4">
        <v>22</v>
      </c>
      <c r="F749" s="8">
        <v>2.97</v>
      </c>
      <c r="G749" s="4">
        <v>6</v>
      </c>
      <c r="H749" s="8">
        <v>0.94</v>
      </c>
      <c r="I749" s="4">
        <v>0</v>
      </c>
    </row>
    <row r="750" spans="1:9" x14ac:dyDescent="0.2">
      <c r="A750" s="2">
        <v>16</v>
      </c>
      <c r="B750" s="1" t="s">
        <v>104</v>
      </c>
      <c r="C750" s="4">
        <v>26</v>
      </c>
      <c r="D750" s="8">
        <v>1.88</v>
      </c>
      <c r="E750" s="4">
        <v>16</v>
      </c>
      <c r="F750" s="8">
        <v>2.16</v>
      </c>
      <c r="G750" s="4">
        <v>10</v>
      </c>
      <c r="H750" s="8">
        <v>1.56</v>
      </c>
      <c r="I750" s="4">
        <v>0</v>
      </c>
    </row>
    <row r="751" spans="1:9" x14ac:dyDescent="0.2">
      <c r="A751" s="2">
        <v>16</v>
      </c>
      <c r="B751" s="1" t="s">
        <v>111</v>
      </c>
      <c r="C751" s="4">
        <v>26</v>
      </c>
      <c r="D751" s="8">
        <v>1.88</v>
      </c>
      <c r="E751" s="4">
        <v>15</v>
      </c>
      <c r="F751" s="8">
        <v>2.02</v>
      </c>
      <c r="G751" s="4">
        <v>10</v>
      </c>
      <c r="H751" s="8">
        <v>1.56</v>
      </c>
      <c r="I751" s="4">
        <v>1</v>
      </c>
    </row>
    <row r="752" spans="1:9" x14ac:dyDescent="0.2">
      <c r="A752" s="2">
        <v>18</v>
      </c>
      <c r="B752" s="1" t="s">
        <v>121</v>
      </c>
      <c r="C752" s="4">
        <v>22</v>
      </c>
      <c r="D752" s="8">
        <v>1.59</v>
      </c>
      <c r="E752" s="4">
        <v>11</v>
      </c>
      <c r="F752" s="8">
        <v>1.48</v>
      </c>
      <c r="G752" s="4">
        <v>11</v>
      </c>
      <c r="H752" s="8">
        <v>1.72</v>
      </c>
      <c r="I752" s="4">
        <v>0</v>
      </c>
    </row>
    <row r="753" spans="1:9" x14ac:dyDescent="0.2">
      <c r="A753" s="2">
        <v>19</v>
      </c>
      <c r="B753" s="1" t="s">
        <v>103</v>
      </c>
      <c r="C753" s="4">
        <v>19</v>
      </c>
      <c r="D753" s="8">
        <v>1.37</v>
      </c>
      <c r="E753" s="4">
        <v>1</v>
      </c>
      <c r="F753" s="8">
        <v>0.13</v>
      </c>
      <c r="G753" s="4">
        <v>18</v>
      </c>
      <c r="H753" s="8">
        <v>2.82</v>
      </c>
      <c r="I753" s="4">
        <v>0</v>
      </c>
    </row>
    <row r="754" spans="1:9" x14ac:dyDescent="0.2">
      <c r="A754" s="2">
        <v>19</v>
      </c>
      <c r="B754" s="1" t="s">
        <v>117</v>
      </c>
      <c r="C754" s="4">
        <v>19</v>
      </c>
      <c r="D754" s="8">
        <v>1.37</v>
      </c>
      <c r="E754" s="4">
        <v>2</v>
      </c>
      <c r="F754" s="8">
        <v>0.27</v>
      </c>
      <c r="G754" s="4">
        <v>17</v>
      </c>
      <c r="H754" s="8">
        <v>2.66</v>
      </c>
      <c r="I754" s="4">
        <v>0</v>
      </c>
    </row>
    <row r="755" spans="1:9" x14ac:dyDescent="0.2">
      <c r="A755" s="1"/>
      <c r="C755" s="4"/>
      <c r="D755" s="8"/>
      <c r="E755" s="4"/>
      <c r="F755" s="8"/>
      <c r="G755" s="4"/>
      <c r="H755" s="8"/>
      <c r="I755" s="4"/>
    </row>
    <row r="756" spans="1:9" x14ac:dyDescent="0.2">
      <c r="A756" s="1" t="s">
        <v>34</v>
      </c>
      <c r="C756" s="4"/>
      <c r="D756" s="8"/>
      <c r="E756" s="4"/>
      <c r="F756" s="8"/>
      <c r="G756" s="4"/>
      <c r="H756" s="8"/>
      <c r="I756" s="4"/>
    </row>
    <row r="757" spans="1:9" x14ac:dyDescent="0.2">
      <c r="A757" s="2">
        <v>1</v>
      </c>
      <c r="B757" s="1" t="s">
        <v>113</v>
      </c>
      <c r="C757" s="4">
        <v>99</v>
      </c>
      <c r="D757" s="8">
        <v>8.91</v>
      </c>
      <c r="E757" s="4">
        <v>74</v>
      </c>
      <c r="F757" s="8">
        <v>16.97</v>
      </c>
      <c r="G757" s="4">
        <v>25</v>
      </c>
      <c r="H757" s="8">
        <v>3.74</v>
      </c>
      <c r="I757" s="4">
        <v>0</v>
      </c>
    </row>
    <row r="758" spans="1:9" x14ac:dyDescent="0.2">
      <c r="A758" s="2">
        <v>2</v>
      </c>
      <c r="B758" s="1" t="s">
        <v>109</v>
      </c>
      <c r="C758" s="4">
        <v>87</v>
      </c>
      <c r="D758" s="8">
        <v>7.83</v>
      </c>
      <c r="E758" s="4">
        <v>19</v>
      </c>
      <c r="F758" s="8">
        <v>4.3600000000000003</v>
      </c>
      <c r="G758" s="4">
        <v>68</v>
      </c>
      <c r="H758" s="8">
        <v>10.18</v>
      </c>
      <c r="I758" s="4">
        <v>0</v>
      </c>
    </row>
    <row r="759" spans="1:9" x14ac:dyDescent="0.2">
      <c r="A759" s="2">
        <v>3</v>
      </c>
      <c r="B759" s="1" t="s">
        <v>107</v>
      </c>
      <c r="C759" s="4">
        <v>76</v>
      </c>
      <c r="D759" s="8">
        <v>6.84</v>
      </c>
      <c r="E759" s="4">
        <v>31</v>
      </c>
      <c r="F759" s="8">
        <v>7.11</v>
      </c>
      <c r="G759" s="4">
        <v>45</v>
      </c>
      <c r="H759" s="8">
        <v>6.74</v>
      </c>
      <c r="I759" s="4">
        <v>0</v>
      </c>
    </row>
    <row r="760" spans="1:9" x14ac:dyDescent="0.2">
      <c r="A760" s="2">
        <v>4</v>
      </c>
      <c r="B760" s="1" t="s">
        <v>98</v>
      </c>
      <c r="C760" s="4">
        <v>74</v>
      </c>
      <c r="D760" s="8">
        <v>6.66</v>
      </c>
      <c r="E760" s="4">
        <v>12</v>
      </c>
      <c r="F760" s="8">
        <v>2.75</v>
      </c>
      <c r="G760" s="4">
        <v>62</v>
      </c>
      <c r="H760" s="8">
        <v>9.2799999999999994</v>
      </c>
      <c r="I760" s="4">
        <v>0</v>
      </c>
    </row>
    <row r="761" spans="1:9" x14ac:dyDescent="0.2">
      <c r="A761" s="2">
        <v>5</v>
      </c>
      <c r="B761" s="1" t="s">
        <v>99</v>
      </c>
      <c r="C761" s="4">
        <v>64</v>
      </c>
      <c r="D761" s="8">
        <v>5.76</v>
      </c>
      <c r="E761" s="4">
        <v>13</v>
      </c>
      <c r="F761" s="8">
        <v>2.98</v>
      </c>
      <c r="G761" s="4">
        <v>51</v>
      </c>
      <c r="H761" s="8">
        <v>7.63</v>
      </c>
      <c r="I761" s="4">
        <v>0</v>
      </c>
    </row>
    <row r="762" spans="1:9" x14ac:dyDescent="0.2">
      <c r="A762" s="2">
        <v>6</v>
      </c>
      <c r="B762" s="1" t="s">
        <v>105</v>
      </c>
      <c r="C762" s="4">
        <v>60</v>
      </c>
      <c r="D762" s="8">
        <v>5.4</v>
      </c>
      <c r="E762" s="4">
        <v>31</v>
      </c>
      <c r="F762" s="8">
        <v>7.11</v>
      </c>
      <c r="G762" s="4">
        <v>28</v>
      </c>
      <c r="H762" s="8">
        <v>4.1900000000000004</v>
      </c>
      <c r="I762" s="4">
        <v>1</v>
      </c>
    </row>
    <row r="763" spans="1:9" x14ac:dyDescent="0.2">
      <c r="A763" s="2">
        <v>7</v>
      </c>
      <c r="B763" s="1" t="s">
        <v>112</v>
      </c>
      <c r="C763" s="4">
        <v>59</v>
      </c>
      <c r="D763" s="8">
        <v>5.31</v>
      </c>
      <c r="E763" s="4">
        <v>49</v>
      </c>
      <c r="F763" s="8">
        <v>11.24</v>
      </c>
      <c r="G763" s="4">
        <v>10</v>
      </c>
      <c r="H763" s="8">
        <v>1.5</v>
      </c>
      <c r="I763" s="4">
        <v>0</v>
      </c>
    </row>
    <row r="764" spans="1:9" x14ac:dyDescent="0.2">
      <c r="A764" s="2">
        <v>8</v>
      </c>
      <c r="B764" s="1" t="s">
        <v>106</v>
      </c>
      <c r="C764" s="4">
        <v>48</v>
      </c>
      <c r="D764" s="8">
        <v>4.32</v>
      </c>
      <c r="E764" s="4">
        <v>28</v>
      </c>
      <c r="F764" s="8">
        <v>6.42</v>
      </c>
      <c r="G764" s="4">
        <v>20</v>
      </c>
      <c r="H764" s="8">
        <v>2.99</v>
      </c>
      <c r="I764" s="4">
        <v>0</v>
      </c>
    </row>
    <row r="765" spans="1:9" x14ac:dyDescent="0.2">
      <c r="A765" s="2">
        <v>9</v>
      </c>
      <c r="B765" s="1" t="s">
        <v>100</v>
      </c>
      <c r="C765" s="4">
        <v>46</v>
      </c>
      <c r="D765" s="8">
        <v>4.1399999999999997</v>
      </c>
      <c r="E765" s="4">
        <v>8</v>
      </c>
      <c r="F765" s="8">
        <v>1.83</v>
      </c>
      <c r="G765" s="4">
        <v>38</v>
      </c>
      <c r="H765" s="8">
        <v>5.69</v>
      </c>
      <c r="I765" s="4">
        <v>0</v>
      </c>
    </row>
    <row r="766" spans="1:9" x14ac:dyDescent="0.2">
      <c r="A766" s="2">
        <v>10</v>
      </c>
      <c r="B766" s="1" t="s">
        <v>114</v>
      </c>
      <c r="C766" s="4">
        <v>39</v>
      </c>
      <c r="D766" s="8">
        <v>3.51</v>
      </c>
      <c r="E766" s="4">
        <v>27</v>
      </c>
      <c r="F766" s="8">
        <v>6.19</v>
      </c>
      <c r="G766" s="4">
        <v>9</v>
      </c>
      <c r="H766" s="8">
        <v>1.35</v>
      </c>
      <c r="I766" s="4">
        <v>3</v>
      </c>
    </row>
    <row r="767" spans="1:9" x14ac:dyDescent="0.2">
      <c r="A767" s="2">
        <v>11</v>
      </c>
      <c r="B767" s="1" t="s">
        <v>115</v>
      </c>
      <c r="C767" s="4">
        <v>37</v>
      </c>
      <c r="D767" s="8">
        <v>3.33</v>
      </c>
      <c r="E767" s="4">
        <v>30</v>
      </c>
      <c r="F767" s="8">
        <v>6.88</v>
      </c>
      <c r="G767" s="4">
        <v>7</v>
      </c>
      <c r="H767" s="8">
        <v>1.05</v>
      </c>
      <c r="I767" s="4">
        <v>0</v>
      </c>
    </row>
    <row r="768" spans="1:9" x14ac:dyDescent="0.2">
      <c r="A768" s="2">
        <v>12</v>
      </c>
      <c r="B768" s="1" t="s">
        <v>111</v>
      </c>
      <c r="C768" s="4">
        <v>36</v>
      </c>
      <c r="D768" s="8">
        <v>3.24</v>
      </c>
      <c r="E768" s="4">
        <v>11</v>
      </c>
      <c r="F768" s="8">
        <v>2.52</v>
      </c>
      <c r="G768" s="4">
        <v>25</v>
      </c>
      <c r="H768" s="8">
        <v>3.74</v>
      </c>
      <c r="I768" s="4">
        <v>0</v>
      </c>
    </row>
    <row r="769" spans="1:9" x14ac:dyDescent="0.2">
      <c r="A769" s="2">
        <v>13</v>
      </c>
      <c r="B769" s="1" t="s">
        <v>110</v>
      </c>
      <c r="C769" s="4">
        <v>28</v>
      </c>
      <c r="D769" s="8">
        <v>2.52</v>
      </c>
      <c r="E769" s="4">
        <v>15</v>
      </c>
      <c r="F769" s="8">
        <v>3.44</v>
      </c>
      <c r="G769" s="4">
        <v>13</v>
      </c>
      <c r="H769" s="8">
        <v>1.95</v>
      </c>
      <c r="I769" s="4">
        <v>0</v>
      </c>
    </row>
    <row r="770" spans="1:9" x14ac:dyDescent="0.2">
      <c r="A770" s="2">
        <v>14</v>
      </c>
      <c r="B770" s="1" t="s">
        <v>116</v>
      </c>
      <c r="C770" s="4">
        <v>27</v>
      </c>
      <c r="D770" s="8">
        <v>2.4300000000000002</v>
      </c>
      <c r="E770" s="4">
        <v>0</v>
      </c>
      <c r="F770" s="8">
        <v>0</v>
      </c>
      <c r="G770" s="4">
        <v>26</v>
      </c>
      <c r="H770" s="8">
        <v>3.89</v>
      </c>
      <c r="I770" s="4">
        <v>0</v>
      </c>
    </row>
    <row r="771" spans="1:9" x14ac:dyDescent="0.2">
      <c r="A771" s="2">
        <v>15</v>
      </c>
      <c r="B771" s="1" t="s">
        <v>103</v>
      </c>
      <c r="C771" s="4">
        <v>26</v>
      </c>
      <c r="D771" s="8">
        <v>2.34</v>
      </c>
      <c r="E771" s="4">
        <v>1</v>
      </c>
      <c r="F771" s="8">
        <v>0.23</v>
      </c>
      <c r="G771" s="4">
        <v>25</v>
      </c>
      <c r="H771" s="8">
        <v>3.74</v>
      </c>
      <c r="I771" s="4">
        <v>0</v>
      </c>
    </row>
    <row r="772" spans="1:9" x14ac:dyDescent="0.2">
      <c r="A772" s="2">
        <v>15</v>
      </c>
      <c r="B772" s="1" t="s">
        <v>104</v>
      </c>
      <c r="C772" s="4">
        <v>26</v>
      </c>
      <c r="D772" s="8">
        <v>2.34</v>
      </c>
      <c r="E772" s="4">
        <v>12</v>
      </c>
      <c r="F772" s="8">
        <v>2.75</v>
      </c>
      <c r="G772" s="4">
        <v>14</v>
      </c>
      <c r="H772" s="8">
        <v>2.1</v>
      </c>
      <c r="I772" s="4">
        <v>0</v>
      </c>
    </row>
    <row r="773" spans="1:9" x14ac:dyDescent="0.2">
      <c r="A773" s="2">
        <v>17</v>
      </c>
      <c r="B773" s="1" t="s">
        <v>102</v>
      </c>
      <c r="C773" s="4">
        <v>23</v>
      </c>
      <c r="D773" s="8">
        <v>2.0699999999999998</v>
      </c>
      <c r="E773" s="4">
        <v>4</v>
      </c>
      <c r="F773" s="8">
        <v>0.92</v>
      </c>
      <c r="G773" s="4">
        <v>19</v>
      </c>
      <c r="H773" s="8">
        <v>2.84</v>
      </c>
      <c r="I773" s="4">
        <v>0</v>
      </c>
    </row>
    <row r="774" spans="1:9" x14ac:dyDescent="0.2">
      <c r="A774" s="2">
        <v>18</v>
      </c>
      <c r="B774" s="1" t="s">
        <v>117</v>
      </c>
      <c r="C774" s="4">
        <v>22</v>
      </c>
      <c r="D774" s="8">
        <v>1.98</v>
      </c>
      <c r="E774" s="4">
        <v>2</v>
      </c>
      <c r="F774" s="8">
        <v>0.46</v>
      </c>
      <c r="G774" s="4">
        <v>20</v>
      </c>
      <c r="H774" s="8">
        <v>2.99</v>
      </c>
      <c r="I774" s="4">
        <v>0</v>
      </c>
    </row>
    <row r="775" spans="1:9" x14ac:dyDescent="0.2">
      <c r="A775" s="2">
        <v>19</v>
      </c>
      <c r="B775" s="1" t="s">
        <v>108</v>
      </c>
      <c r="C775" s="4">
        <v>21</v>
      </c>
      <c r="D775" s="8">
        <v>1.89</v>
      </c>
      <c r="E775" s="4">
        <v>8</v>
      </c>
      <c r="F775" s="8">
        <v>1.83</v>
      </c>
      <c r="G775" s="4">
        <v>13</v>
      </c>
      <c r="H775" s="8">
        <v>1.95</v>
      </c>
      <c r="I775" s="4">
        <v>0</v>
      </c>
    </row>
    <row r="776" spans="1:9" x14ac:dyDescent="0.2">
      <c r="A776" s="2">
        <v>20</v>
      </c>
      <c r="B776" s="1" t="s">
        <v>123</v>
      </c>
      <c r="C776" s="4">
        <v>16</v>
      </c>
      <c r="D776" s="8">
        <v>1.44</v>
      </c>
      <c r="E776" s="4">
        <v>12</v>
      </c>
      <c r="F776" s="8">
        <v>2.75</v>
      </c>
      <c r="G776" s="4">
        <v>4</v>
      </c>
      <c r="H776" s="8">
        <v>0.6</v>
      </c>
      <c r="I776" s="4">
        <v>0</v>
      </c>
    </row>
    <row r="777" spans="1:9" x14ac:dyDescent="0.2">
      <c r="A777" s="1"/>
      <c r="C777" s="4"/>
      <c r="D777" s="8"/>
      <c r="E777" s="4"/>
      <c r="F777" s="8"/>
      <c r="G777" s="4"/>
      <c r="H777" s="8"/>
      <c r="I777" s="4"/>
    </row>
    <row r="778" spans="1:9" x14ac:dyDescent="0.2">
      <c r="A778" s="1" t="s">
        <v>35</v>
      </c>
      <c r="C778" s="4"/>
      <c r="D778" s="8"/>
      <c r="E778" s="4"/>
      <c r="F778" s="8"/>
      <c r="G778" s="4"/>
      <c r="H778" s="8"/>
      <c r="I778" s="4"/>
    </row>
    <row r="779" spans="1:9" x14ac:dyDescent="0.2">
      <c r="A779" s="2">
        <v>1</v>
      </c>
      <c r="B779" s="1" t="s">
        <v>113</v>
      </c>
      <c r="C779" s="4">
        <v>101</v>
      </c>
      <c r="D779" s="8">
        <v>9.3699999999999992</v>
      </c>
      <c r="E779" s="4">
        <v>89</v>
      </c>
      <c r="F779" s="8">
        <v>16.45</v>
      </c>
      <c r="G779" s="4">
        <v>12</v>
      </c>
      <c r="H779" s="8">
        <v>2.2599999999999998</v>
      </c>
      <c r="I779" s="4">
        <v>0</v>
      </c>
    </row>
    <row r="780" spans="1:9" x14ac:dyDescent="0.2">
      <c r="A780" s="2">
        <v>2</v>
      </c>
      <c r="B780" s="1" t="s">
        <v>112</v>
      </c>
      <c r="C780" s="4">
        <v>100</v>
      </c>
      <c r="D780" s="8">
        <v>9.2799999999999994</v>
      </c>
      <c r="E780" s="4">
        <v>88</v>
      </c>
      <c r="F780" s="8">
        <v>16.27</v>
      </c>
      <c r="G780" s="4">
        <v>12</v>
      </c>
      <c r="H780" s="8">
        <v>2.2599999999999998</v>
      </c>
      <c r="I780" s="4">
        <v>0</v>
      </c>
    </row>
    <row r="781" spans="1:9" x14ac:dyDescent="0.2">
      <c r="A781" s="2">
        <v>3</v>
      </c>
      <c r="B781" s="1" t="s">
        <v>98</v>
      </c>
      <c r="C781" s="4">
        <v>83</v>
      </c>
      <c r="D781" s="8">
        <v>7.7</v>
      </c>
      <c r="E781" s="4">
        <v>21</v>
      </c>
      <c r="F781" s="8">
        <v>3.88</v>
      </c>
      <c r="G781" s="4">
        <v>62</v>
      </c>
      <c r="H781" s="8">
        <v>11.65</v>
      </c>
      <c r="I781" s="4">
        <v>0</v>
      </c>
    </row>
    <row r="782" spans="1:9" x14ac:dyDescent="0.2">
      <c r="A782" s="2">
        <v>4</v>
      </c>
      <c r="B782" s="1" t="s">
        <v>109</v>
      </c>
      <c r="C782" s="4">
        <v>59</v>
      </c>
      <c r="D782" s="8">
        <v>5.47</v>
      </c>
      <c r="E782" s="4">
        <v>34</v>
      </c>
      <c r="F782" s="8">
        <v>6.28</v>
      </c>
      <c r="G782" s="4">
        <v>25</v>
      </c>
      <c r="H782" s="8">
        <v>4.7</v>
      </c>
      <c r="I782" s="4">
        <v>0</v>
      </c>
    </row>
    <row r="783" spans="1:9" x14ac:dyDescent="0.2">
      <c r="A783" s="2">
        <v>5</v>
      </c>
      <c r="B783" s="1" t="s">
        <v>107</v>
      </c>
      <c r="C783" s="4">
        <v>57</v>
      </c>
      <c r="D783" s="8">
        <v>5.29</v>
      </c>
      <c r="E783" s="4">
        <v>33</v>
      </c>
      <c r="F783" s="8">
        <v>6.1</v>
      </c>
      <c r="G783" s="4">
        <v>24</v>
      </c>
      <c r="H783" s="8">
        <v>4.51</v>
      </c>
      <c r="I783" s="4">
        <v>0</v>
      </c>
    </row>
    <row r="784" spans="1:9" x14ac:dyDescent="0.2">
      <c r="A784" s="2">
        <v>6</v>
      </c>
      <c r="B784" s="1" t="s">
        <v>106</v>
      </c>
      <c r="C784" s="4">
        <v>56</v>
      </c>
      <c r="D784" s="8">
        <v>5.19</v>
      </c>
      <c r="E784" s="4">
        <v>33</v>
      </c>
      <c r="F784" s="8">
        <v>6.1</v>
      </c>
      <c r="G784" s="4">
        <v>23</v>
      </c>
      <c r="H784" s="8">
        <v>4.32</v>
      </c>
      <c r="I784" s="4">
        <v>0</v>
      </c>
    </row>
    <row r="785" spans="1:9" x14ac:dyDescent="0.2">
      <c r="A785" s="2">
        <v>7</v>
      </c>
      <c r="B785" s="1" t="s">
        <v>99</v>
      </c>
      <c r="C785" s="4">
        <v>47</v>
      </c>
      <c r="D785" s="8">
        <v>4.3600000000000003</v>
      </c>
      <c r="E785" s="4">
        <v>25</v>
      </c>
      <c r="F785" s="8">
        <v>4.62</v>
      </c>
      <c r="G785" s="4">
        <v>22</v>
      </c>
      <c r="H785" s="8">
        <v>4.1399999999999997</v>
      </c>
      <c r="I785" s="4">
        <v>0</v>
      </c>
    </row>
    <row r="786" spans="1:9" x14ac:dyDescent="0.2">
      <c r="A786" s="2">
        <v>8</v>
      </c>
      <c r="B786" s="1" t="s">
        <v>115</v>
      </c>
      <c r="C786" s="4">
        <v>46</v>
      </c>
      <c r="D786" s="8">
        <v>4.2699999999999996</v>
      </c>
      <c r="E786" s="4">
        <v>40</v>
      </c>
      <c r="F786" s="8">
        <v>7.39</v>
      </c>
      <c r="G786" s="4">
        <v>6</v>
      </c>
      <c r="H786" s="8">
        <v>1.1299999999999999</v>
      </c>
      <c r="I786" s="4">
        <v>0</v>
      </c>
    </row>
    <row r="787" spans="1:9" x14ac:dyDescent="0.2">
      <c r="A787" s="2">
        <v>9</v>
      </c>
      <c r="B787" s="1" t="s">
        <v>114</v>
      </c>
      <c r="C787" s="4">
        <v>41</v>
      </c>
      <c r="D787" s="8">
        <v>3.8</v>
      </c>
      <c r="E787" s="4">
        <v>30</v>
      </c>
      <c r="F787" s="8">
        <v>5.55</v>
      </c>
      <c r="G787" s="4">
        <v>9</v>
      </c>
      <c r="H787" s="8">
        <v>1.69</v>
      </c>
      <c r="I787" s="4">
        <v>0</v>
      </c>
    </row>
    <row r="788" spans="1:9" x14ac:dyDescent="0.2">
      <c r="A788" s="2">
        <v>10</v>
      </c>
      <c r="B788" s="1" t="s">
        <v>100</v>
      </c>
      <c r="C788" s="4">
        <v>39</v>
      </c>
      <c r="D788" s="8">
        <v>3.62</v>
      </c>
      <c r="E788" s="4">
        <v>9</v>
      </c>
      <c r="F788" s="8">
        <v>1.66</v>
      </c>
      <c r="G788" s="4">
        <v>30</v>
      </c>
      <c r="H788" s="8">
        <v>5.64</v>
      </c>
      <c r="I788" s="4">
        <v>0</v>
      </c>
    </row>
    <row r="789" spans="1:9" x14ac:dyDescent="0.2">
      <c r="A789" s="2">
        <v>11</v>
      </c>
      <c r="B789" s="1" t="s">
        <v>105</v>
      </c>
      <c r="C789" s="4">
        <v>38</v>
      </c>
      <c r="D789" s="8">
        <v>3.53</v>
      </c>
      <c r="E789" s="4">
        <v>23</v>
      </c>
      <c r="F789" s="8">
        <v>4.25</v>
      </c>
      <c r="G789" s="4">
        <v>15</v>
      </c>
      <c r="H789" s="8">
        <v>2.82</v>
      </c>
      <c r="I789" s="4">
        <v>0</v>
      </c>
    </row>
    <row r="790" spans="1:9" x14ac:dyDescent="0.2">
      <c r="A790" s="2">
        <v>12</v>
      </c>
      <c r="B790" s="1" t="s">
        <v>110</v>
      </c>
      <c r="C790" s="4">
        <v>31</v>
      </c>
      <c r="D790" s="8">
        <v>2.88</v>
      </c>
      <c r="E790" s="4">
        <v>15</v>
      </c>
      <c r="F790" s="8">
        <v>2.77</v>
      </c>
      <c r="G790" s="4">
        <v>16</v>
      </c>
      <c r="H790" s="8">
        <v>3.01</v>
      </c>
      <c r="I790" s="4">
        <v>0</v>
      </c>
    </row>
    <row r="791" spans="1:9" x14ac:dyDescent="0.2">
      <c r="A791" s="2">
        <v>13</v>
      </c>
      <c r="B791" s="1" t="s">
        <v>121</v>
      </c>
      <c r="C791" s="4">
        <v>28</v>
      </c>
      <c r="D791" s="8">
        <v>2.6</v>
      </c>
      <c r="E791" s="4">
        <v>3</v>
      </c>
      <c r="F791" s="8">
        <v>0.55000000000000004</v>
      </c>
      <c r="G791" s="4">
        <v>24</v>
      </c>
      <c r="H791" s="8">
        <v>4.51</v>
      </c>
      <c r="I791" s="4">
        <v>0</v>
      </c>
    </row>
    <row r="792" spans="1:9" x14ac:dyDescent="0.2">
      <c r="A792" s="2">
        <v>14</v>
      </c>
      <c r="B792" s="1" t="s">
        <v>101</v>
      </c>
      <c r="C792" s="4">
        <v>24</v>
      </c>
      <c r="D792" s="8">
        <v>2.23</v>
      </c>
      <c r="E792" s="4">
        <v>6</v>
      </c>
      <c r="F792" s="8">
        <v>1.1100000000000001</v>
      </c>
      <c r="G792" s="4">
        <v>18</v>
      </c>
      <c r="H792" s="8">
        <v>3.38</v>
      </c>
      <c r="I792" s="4">
        <v>0</v>
      </c>
    </row>
    <row r="793" spans="1:9" x14ac:dyDescent="0.2">
      <c r="A793" s="2">
        <v>15</v>
      </c>
      <c r="B793" s="1" t="s">
        <v>102</v>
      </c>
      <c r="C793" s="4">
        <v>22</v>
      </c>
      <c r="D793" s="8">
        <v>2.04</v>
      </c>
      <c r="E793" s="4">
        <v>0</v>
      </c>
      <c r="F793" s="8">
        <v>0</v>
      </c>
      <c r="G793" s="4">
        <v>22</v>
      </c>
      <c r="H793" s="8">
        <v>4.1399999999999997</v>
      </c>
      <c r="I793" s="4">
        <v>0</v>
      </c>
    </row>
    <row r="794" spans="1:9" x14ac:dyDescent="0.2">
      <c r="A794" s="2">
        <v>16</v>
      </c>
      <c r="B794" s="1" t="s">
        <v>111</v>
      </c>
      <c r="C794" s="4">
        <v>21</v>
      </c>
      <c r="D794" s="8">
        <v>1.95</v>
      </c>
      <c r="E794" s="4">
        <v>8</v>
      </c>
      <c r="F794" s="8">
        <v>1.48</v>
      </c>
      <c r="G794" s="4">
        <v>13</v>
      </c>
      <c r="H794" s="8">
        <v>2.44</v>
      </c>
      <c r="I794" s="4">
        <v>0</v>
      </c>
    </row>
    <row r="795" spans="1:9" x14ac:dyDescent="0.2">
      <c r="A795" s="2">
        <v>16</v>
      </c>
      <c r="B795" s="1" t="s">
        <v>123</v>
      </c>
      <c r="C795" s="4">
        <v>21</v>
      </c>
      <c r="D795" s="8">
        <v>1.95</v>
      </c>
      <c r="E795" s="4">
        <v>15</v>
      </c>
      <c r="F795" s="8">
        <v>2.77</v>
      </c>
      <c r="G795" s="4">
        <v>6</v>
      </c>
      <c r="H795" s="8">
        <v>1.1299999999999999</v>
      </c>
      <c r="I795" s="4">
        <v>0</v>
      </c>
    </row>
    <row r="796" spans="1:9" x14ac:dyDescent="0.2">
      <c r="A796" s="2">
        <v>18</v>
      </c>
      <c r="B796" s="1" t="s">
        <v>118</v>
      </c>
      <c r="C796" s="4">
        <v>19</v>
      </c>
      <c r="D796" s="8">
        <v>1.76</v>
      </c>
      <c r="E796" s="4">
        <v>10</v>
      </c>
      <c r="F796" s="8">
        <v>1.85</v>
      </c>
      <c r="G796" s="4">
        <v>8</v>
      </c>
      <c r="H796" s="8">
        <v>1.5</v>
      </c>
      <c r="I796" s="4">
        <v>0</v>
      </c>
    </row>
    <row r="797" spans="1:9" x14ac:dyDescent="0.2">
      <c r="A797" s="2">
        <v>19</v>
      </c>
      <c r="B797" s="1" t="s">
        <v>103</v>
      </c>
      <c r="C797" s="4">
        <v>17</v>
      </c>
      <c r="D797" s="8">
        <v>1.58</v>
      </c>
      <c r="E797" s="4">
        <v>0</v>
      </c>
      <c r="F797" s="8">
        <v>0</v>
      </c>
      <c r="G797" s="4">
        <v>17</v>
      </c>
      <c r="H797" s="8">
        <v>3.2</v>
      </c>
      <c r="I797" s="4">
        <v>0</v>
      </c>
    </row>
    <row r="798" spans="1:9" x14ac:dyDescent="0.2">
      <c r="A798" s="2">
        <v>19</v>
      </c>
      <c r="B798" s="1" t="s">
        <v>108</v>
      </c>
      <c r="C798" s="4">
        <v>17</v>
      </c>
      <c r="D798" s="8">
        <v>1.58</v>
      </c>
      <c r="E798" s="4">
        <v>9</v>
      </c>
      <c r="F798" s="8">
        <v>1.66</v>
      </c>
      <c r="G798" s="4">
        <v>8</v>
      </c>
      <c r="H798" s="8">
        <v>1.5</v>
      </c>
      <c r="I798" s="4">
        <v>0</v>
      </c>
    </row>
    <row r="799" spans="1:9" x14ac:dyDescent="0.2">
      <c r="A799" s="2">
        <v>19</v>
      </c>
      <c r="B799" s="1" t="s">
        <v>117</v>
      </c>
      <c r="C799" s="4">
        <v>17</v>
      </c>
      <c r="D799" s="8">
        <v>1.58</v>
      </c>
      <c r="E799" s="4">
        <v>2</v>
      </c>
      <c r="F799" s="8">
        <v>0.37</v>
      </c>
      <c r="G799" s="4">
        <v>15</v>
      </c>
      <c r="H799" s="8">
        <v>2.82</v>
      </c>
      <c r="I799" s="4">
        <v>0</v>
      </c>
    </row>
    <row r="800" spans="1:9" x14ac:dyDescent="0.2">
      <c r="A800" s="1"/>
      <c r="C800" s="4"/>
      <c r="D800" s="8"/>
      <c r="E800" s="4"/>
      <c r="F800" s="8"/>
      <c r="G800" s="4"/>
      <c r="H800" s="8"/>
      <c r="I800" s="4"/>
    </row>
    <row r="801" spans="1:9" x14ac:dyDescent="0.2">
      <c r="A801" s="1" t="s">
        <v>36</v>
      </c>
      <c r="C801" s="4"/>
      <c r="D801" s="8"/>
      <c r="E801" s="4"/>
      <c r="F801" s="8"/>
      <c r="G801" s="4"/>
      <c r="H801" s="8"/>
      <c r="I801" s="4"/>
    </row>
    <row r="802" spans="1:9" x14ac:dyDescent="0.2">
      <c r="A802" s="2">
        <v>1</v>
      </c>
      <c r="B802" s="1" t="s">
        <v>113</v>
      </c>
      <c r="C802" s="4">
        <v>120</v>
      </c>
      <c r="D802" s="8">
        <v>11.21</v>
      </c>
      <c r="E802" s="4">
        <v>93</v>
      </c>
      <c r="F802" s="8">
        <v>15.76</v>
      </c>
      <c r="G802" s="4">
        <v>27</v>
      </c>
      <c r="H802" s="8">
        <v>5.7</v>
      </c>
      <c r="I802" s="4">
        <v>0</v>
      </c>
    </row>
    <row r="803" spans="1:9" x14ac:dyDescent="0.2">
      <c r="A803" s="2">
        <v>2</v>
      </c>
      <c r="B803" s="1" t="s">
        <v>112</v>
      </c>
      <c r="C803" s="4">
        <v>108</v>
      </c>
      <c r="D803" s="8">
        <v>10.09</v>
      </c>
      <c r="E803" s="4">
        <v>95</v>
      </c>
      <c r="F803" s="8">
        <v>16.100000000000001</v>
      </c>
      <c r="G803" s="4">
        <v>13</v>
      </c>
      <c r="H803" s="8">
        <v>2.74</v>
      </c>
      <c r="I803" s="4">
        <v>0</v>
      </c>
    </row>
    <row r="804" spans="1:9" x14ac:dyDescent="0.2">
      <c r="A804" s="2">
        <v>3</v>
      </c>
      <c r="B804" s="1" t="s">
        <v>98</v>
      </c>
      <c r="C804" s="4">
        <v>97</v>
      </c>
      <c r="D804" s="8">
        <v>9.07</v>
      </c>
      <c r="E804" s="4">
        <v>21</v>
      </c>
      <c r="F804" s="8">
        <v>3.56</v>
      </c>
      <c r="G804" s="4">
        <v>76</v>
      </c>
      <c r="H804" s="8">
        <v>16.03</v>
      </c>
      <c r="I804" s="4">
        <v>0</v>
      </c>
    </row>
    <row r="805" spans="1:9" x14ac:dyDescent="0.2">
      <c r="A805" s="2">
        <v>4</v>
      </c>
      <c r="B805" s="1" t="s">
        <v>105</v>
      </c>
      <c r="C805" s="4">
        <v>64</v>
      </c>
      <c r="D805" s="8">
        <v>5.98</v>
      </c>
      <c r="E805" s="4">
        <v>48</v>
      </c>
      <c r="F805" s="8">
        <v>8.14</v>
      </c>
      <c r="G805" s="4">
        <v>16</v>
      </c>
      <c r="H805" s="8">
        <v>3.38</v>
      </c>
      <c r="I805" s="4">
        <v>0</v>
      </c>
    </row>
    <row r="806" spans="1:9" x14ac:dyDescent="0.2">
      <c r="A806" s="2">
        <v>5</v>
      </c>
      <c r="B806" s="1" t="s">
        <v>107</v>
      </c>
      <c r="C806" s="4">
        <v>62</v>
      </c>
      <c r="D806" s="8">
        <v>5.79</v>
      </c>
      <c r="E806" s="4">
        <v>33</v>
      </c>
      <c r="F806" s="8">
        <v>5.59</v>
      </c>
      <c r="G806" s="4">
        <v>29</v>
      </c>
      <c r="H806" s="8">
        <v>6.12</v>
      </c>
      <c r="I806" s="4">
        <v>0</v>
      </c>
    </row>
    <row r="807" spans="1:9" x14ac:dyDescent="0.2">
      <c r="A807" s="2">
        <v>6</v>
      </c>
      <c r="B807" s="1" t="s">
        <v>115</v>
      </c>
      <c r="C807" s="4">
        <v>53</v>
      </c>
      <c r="D807" s="8">
        <v>4.95</v>
      </c>
      <c r="E807" s="4">
        <v>48</v>
      </c>
      <c r="F807" s="8">
        <v>8.14</v>
      </c>
      <c r="G807" s="4">
        <v>5</v>
      </c>
      <c r="H807" s="8">
        <v>1.05</v>
      </c>
      <c r="I807" s="4">
        <v>0</v>
      </c>
    </row>
    <row r="808" spans="1:9" x14ac:dyDescent="0.2">
      <c r="A808" s="2">
        <v>7</v>
      </c>
      <c r="B808" s="1" t="s">
        <v>114</v>
      </c>
      <c r="C808" s="4">
        <v>48</v>
      </c>
      <c r="D808" s="8">
        <v>4.49</v>
      </c>
      <c r="E808" s="4">
        <v>38</v>
      </c>
      <c r="F808" s="8">
        <v>6.44</v>
      </c>
      <c r="G808" s="4">
        <v>8</v>
      </c>
      <c r="H808" s="8">
        <v>1.69</v>
      </c>
      <c r="I808" s="4">
        <v>0</v>
      </c>
    </row>
    <row r="809" spans="1:9" x14ac:dyDescent="0.2">
      <c r="A809" s="2">
        <v>8</v>
      </c>
      <c r="B809" s="1" t="s">
        <v>100</v>
      </c>
      <c r="C809" s="4">
        <v>44</v>
      </c>
      <c r="D809" s="8">
        <v>4.1100000000000003</v>
      </c>
      <c r="E809" s="4">
        <v>19</v>
      </c>
      <c r="F809" s="8">
        <v>3.22</v>
      </c>
      <c r="G809" s="4">
        <v>25</v>
      </c>
      <c r="H809" s="8">
        <v>5.27</v>
      </c>
      <c r="I809" s="4">
        <v>0</v>
      </c>
    </row>
    <row r="810" spans="1:9" x14ac:dyDescent="0.2">
      <c r="A810" s="2">
        <v>9</v>
      </c>
      <c r="B810" s="1" t="s">
        <v>109</v>
      </c>
      <c r="C810" s="4">
        <v>41</v>
      </c>
      <c r="D810" s="8">
        <v>3.83</v>
      </c>
      <c r="E810" s="4">
        <v>9</v>
      </c>
      <c r="F810" s="8">
        <v>1.53</v>
      </c>
      <c r="G810" s="4">
        <v>31</v>
      </c>
      <c r="H810" s="8">
        <v>6.54</v>
      </c>
      <c r="I810" s="4">
        <v>1</v>
      </c>
    </row>
    <row r="811" spans="1:9" x14ac:dyDescent="0.2">
      <c r="A811" s="2">
        <v>10</v>
      </c>
      <c r="B811" s="1" t="s">
        <v>104</v>
      </c>
      <c r="C811" s="4">
        <v>39</v>
      </c>
      <c r="D811" s="8">
        <v>3.64</v>
      </c>
      <c r="E811" s="4">
        <v>9</v>
      </c>
      <c r="F811" s="8">
        <v>1.53</v>
      </c>
      <c r="G811" s="4">
        <v>30</v>
      </c>
      <c r="H811" s="8">
        <v>6.33</v>
      </c>
      <c r="I811" s="4">
        <v>0</v>
      </c>
    </row>
    <row r="812" spans="1:9" x14ac:dyDescent="0.2">
      <c r="A812" s="2">
        <v>10</v>
      </c>
      <c r="B812" s="1" t="s">
        <v>110</v>
      </c>
      <c r="C812" s="4">
        <v>39</v>
      </c>
      <c r="D812" s="8">
        <v>3.64</v>
      </c>
      <c r="E812" s="4">
        <v>26</v>
      </c>
      <c r="F812" s="8">
        <v>4.41</v>
      </c>
      <c r="G812" s="4">
        <v>13</v>
      </c>
      <c r="H812" s="8">
        <v>2.74</v>
      </c>
      <c r="I812" s="4">
        <v>0</v>
      </c>
    </row>
    <row r="813" spans="1:9" x14ac:dyDescent="0.2">
      <c r="A813" s="2">
        <v>12</v>
      </c>
      <c r="B813" s="1" t="s">
        <v>106</v>
      </c>
      <c r="C813" s="4">
        <v>31</v>
      </c>
      <c r="D813" s="8">
        <v>2.9</v>
      </c>
      <c r="E813" s="4">
        <v>21</v>
      </c>
      <c r="F813" s="8">
        <v>3.56</v>
      </c>
      <c r="G813" s="4">
        <v>10</v>
      </c>
      <c r="H813" s="8">
        <v>2.11</v>
      </c>
      <c r="I813" s="4">
        <v>0</v>
      </c>
    </row>
    <row r="814" spans="1:9" x14ac:dyDescent="0.2">
      <c r="A814" s="2">
        <v>13</v>
      </c>
      <c r="B814" s="1" t="s">
        <v>99</v>
      </c>
      <c r="C814" s="4">
        <v>28</v>
      </c>
      <c r="D814" s="8">
        <v>2.62</v>
      </c>
      <c r="E814" s="4">
        <v>18</v>
      </c>
      <c r="F814" s="8">
        <v>3.05</v>
      </c>
      <c r="G814" s="4">
        <v>10</v>
      </c>
      <c r="H814" s="8">
        <v>2.11</v>
      </c>
      <c r="I814" s="4">
        <v>0</v>
      </c>
    </row>
    <row r="815" spans="1:9" x14ac:dyDescent="0.2">
      <c r="A815" s="2">
        <v>14</v>
      </c>
      <c r="B815" s="1" t="s">
        <v>108</v>
      </c>
      <c r="C815" s="4">
        <v>26</v>
      </c>
      <c r="D815" s="8">
        <v>2.4300000000000002</v>
      </c>
      <c r="E815" s="4">
        <v>4</v>
      </c>
      <c r="F815" s="8">
        <v>0.68</v>
      </c>
      <c r="G815" s="4">
        <v>22</v>
      </c>
      <c r="H815" s="8">
        <v>4.6399999999999997</v>
      </c>
      <c r="I815" s="4">
        <v>0</v>
      </c>
    </row>
    <row r="816" spans="1:9" x14ac:dyDescent="0.2">
      <c r="A816" s="2">
        <v>15</v>
      </c>
      <c r="B816" s="1" t="s">
        <v>123</v>
      </c>
      <c r="C816" s="4">
        <v>20</v>
      </c>
      <c r="D816" s="8">
        <v>1.87</v>
      </c>
      <c r="E816" s="4">
        <v>17</v>
      </c>
      <c r="F816" s="8">
        <v>2.88</v>
      </c>
      <c r="G816" s="4">
        <v>3</v>
      </c>
      <c r="H816" s="8">
        <v>0.63</v>
      </c>
      <c r="I816" s="4">
        <v>0</v>
      </c>
    </row>
    <row r="817" spans="1:9" x14ac:dyDescent="0.2">
      <c r="A817" s="2">
        <v>16</v>
      </c>
      <c r="B817" s="1" t="s">
        <v>111</v>
      </c>
      <c r="C817" s="4">
        <v>19</v>
      </c>
      <c r="D817" s="8">
        <v>1.78</v>
      </c>
      <c r="E817" s="4">
        <v>9</v>
      </c>
      <c r="F817" s="8">
        <v>1.53</v>
      </c>
      <c r="G817" s="4">
        <v>10</v>
      </c>
      <c r="H817" s="8">
        <v>2.11</v>
      </c>
      <c r="I817" s="4">
        <v>0</v>
      </c>
    </row>
    <row r="818" spans="1:9" x14ac:dyDescent="0.2">
      <c r="A818" s="2">
        <v>17</v>
      </c>
      <c r="B818" s="1" t="s">
        <v>118</v>
      </c>
      <c r="C818" s="4">
        <v>17</v>
      </c>
      <c r="D818" s="8">
        <v>1.59</v>
      </c>
      <c r="E818" s="4">
        <v>8</v>
      </c>
      <c r="F818" s="8">
        <v>1.36</v>
      </c>
      <c r="G818" s="4">
        <v>9</v>
      </c>
      <c r="H818" s="8">
        <v>1.9</v>
      </c>
      <c r="I818" s="4">
        <v>0</v>
      </c>
    </row>
    <row r="819" spans="1:9" x14ac:dyDescent="0.2">
      <c r="A819" s="2">
        <v>18</v>
      </c>
      <c r="B819" s="1" t="s">
        <v>127</v>
      </c>
      <c r="C819" s="4">
        <v>16</v>
      </c>
      <c r="D819" s="8">
        <v>1.5</v>
      </c>
      <c r="E819" s="4">
        <v>10</v>
      </c>
      <c r="F819" s="8">
        <v>1.69</v>
      </c>
      <c r="G819" s="4">
        <v>6</v>
      </c>
      <c r="H819" s="8">
        <v>1.27</v>
      </c>
      <c r="I819" s="4">
        <v>0</v>
      </c>
    </row>
    <row r="820" spans="1:9" x14ac:dyDescent="0.2">
      <c r="A820" s="2">
        <v>18</v>
      </c>
      <c r="B820" s="1" t="s">
        <v>116</v>
      </c>
      <c r="C820" s="4">
        <v>16</v>
      </c>
      <c r="D820" s="8">
        <v>1.5</v>
      </c>
      <c r="E820" s="4">
        <v>1</v>
      </c>
      <c r="F820" s="8">
        <v>0.17</v>
      </c>
      <c r="G820" s="4">
        <v>14</v>
      </c>
      <c r="H820" s="8">
        <v>2.95</v>
      </c>
      <c r="I820" s="4">
        <v>0</v>
      </c>
    </row>
    <row r="821" spans="1:9" x14ac:dyDescent="0.2">
      <c r="A821" s="2">
        <v>20</v>
      </c>
      <c r="B821" s="1" t="s">
        <v>126</v>
      </c>
      <c r="C821" s="4">
        <v>15</v>
      </c>
      <c r="D821" s="8">
        <v>1.4</v>
      </c>
      <c r="E821" s="4">
        <v>4</v>
      </c>
      <c r="F821" s="8">
        <v>0.68</v>
      </c>
      <c r="G821" s="4">
        <v>11</v>
      </c>
      <c r="H821" s="8">
        <v>2.3199999999999998</v>
      </c>
      <c r="I821" s="4">
        <v>0</v>
      </c>
    </row>
    <row r="822" spans="1:9" x14ac:dyDescent="0.2">
      <c r="A822" s="1"/>
      <c r="C822" s="4"/>
      <c r="D822" s="8"/>
      <c r="E822" s="4"/>
      <c r="F822" s="8"/>
      <c r="G822" s="4"/>
      <c r="H822" s="8"/>
      <c r="I822" s="4"/>
    </row>
    <row r="823" spans="1:9" x14ac:dyDescent="0.2">
      <c r="A823" s="1" t="s">
        <v>37</v>
      </c>
      <c r="C823" s="4"/>
      <c r="D823" s="8"/>
      <c r="E823" s="4"/>
      <c r="F823" s="8"/>
      <c r="G823" s="4"/>
      <c r="H823" s="8"/>
      <c r="I823" s="4"/>
    </row>
    <row r="824" spans="1:9" x14ac:dyDescent="0.2">
      <c r="A824" s="2">
        <v>1</v>
      </c>
      <c r="B824" s="1" t="s">
        <v>112</v>
      </c>
      <c r="C824" s="4">
        <v>87</v>
      </c>
      <c r="D824" s="8">
        <v>13.02</v>
      </c>
      <c r="E824" s="4">
        <v>80</v>
      </c>
      <c r="F824" s="8">
        <v>18.260000000000002</v>
      </c>
      <c r="G824" s="4">
        <v>6</v>
      </c>
      <c r="H824" s="8">
        <v>2.71</v>
      </c>
      <c r="I824" s="4">
        <v>1</v>
      </c>
    </row>
    <row r="825" spans="1:9" x14ac:dyDescent="0.2">
      <c r="A825" s="2">
        <v>2</v>
      </c>
      <c r="B825" s="1" t="s">
        <v>107</v>
      </c>
      <c r="C825" s="4">
        <v>71</v>
      </c>
      <c r="D825" s="8">
        <v>10.63</v>
      </c>
      <c r="E825" s="4">
        <v>43</v>
      </c>
      <c r="F825" s="8">
        <v>9.82</v>
      </c>
      <c r="G825" s="4">
        <v>28</v>
      </c>
      <c r="H825" s="8">
        <v>12.67</v>
      </c>
      <c r="I825" s="4">
        <v>0</v>
      </c>
    </row>
    <row r="826" spans="1:9" x14ac:dyDescent="0.2">
      <c r="A826" s="2">
        <v>3</v>
      </c>
      <c r="B826" s="1" t="s">
        <v>113</v>
      </c>
      <c r="C826" s="4">
        <v>65</v>
      </c>
      <c r="D826" s="8">
        <v>9.73</v>
      </c>
      <c r="E826" s="4">
        <v>58</v>
      </c>
      <c r="F826" s="8">
        <v>13.24</v>
      </c>
      <c r="G826" s="4">
        <v>7</v>
      </c>
      <c r="H826" s="8">
        <v>3.17</v>
      </c>
      <c r="I826" s="4">
        <v>0</v>
      </c>
    </row>
    <row r="827" spans="1:9" x14ac:dyDescent="0.2">
      <c r="A827" s="2">
        <v>4</v>
      </c>
      <c r="B827" s="1" t="s">
        <v>98</v>
      </c>
      <c r="C827" s="4">
        <v>56</v>
      </c>
      <c r="D827" s="8">
        <v>8.3800000000000008</v>
      </c>
      <c r="E827" s="4">
        <v>18</v>
      </c>
      <c r="F827" s="8">
        <v>4.1100000000000003</v>
      </c>
      <c r="G827" s="4">
        <v>38</v>
      </c>
      <c r="H827" s="8">
        <v>17.190000000000001</v>
      </c>
      <c r="I827" s="4">
        <v>0</v>
      </c>
    </row>
    <row r="828" spans="1:9" x14ac:dyDescent="0.2">
      <c r="A828" s="2">
        <v>5</v>
      </c>
      <c r="B828" s="1" t="s">
        <v>105</v>
      </c>
      <c r="C828" s="4">
        <v>45</v>
      </c>
      <c r="D828" s="8">
        <v>6.74</v>
      </c>
      <c r="E828" s="4">
        <v>40</v>
      </c>
      <c r="F828" s="8">
        <v>9.1300000000000008</v>
      </c>
      <c r="G828" s="4">
        <v>5</v>
      </c>
      <c r="H828" s="8">
        <v>2.2599999999999998</v>
      </c>
      <c r="I828" s="4">
        <v>0</v>
      </c>
    </row>
    <row r="829" spans="1:9" x14ac:dyDescent="0.2">
      <c r="A829" s="2">
        <v>6</v>
      </c>
      <c r="B829" s="1" t="s">
        <v>99</v>
      </c>
      <c r="C829" s="4">
        <v>33</v>
      </c>
      <c r="D829" s="8">
        <v>4.9400000000000004</v>
      </c>
      <c r="E829" s="4">
        <v>22</v>
      </c>
      <c r="F829" s="8">
        <v>5.0199999999999996</v>
      </c>
      <c r="G829" s="4">
        <v>11</v>
      </c>
      <c r="H829" s="8">
        <v>4.9800000000000004</v>
      </c>
      <c r="I829" s="4">
        <v>0</v>
      </c>
    </row>
    <row r="830" spans="1:9" x14ac:dyDescent="0.2">
      <c r="A830" s="2">
        <v>7</v>
      </c>
      <c r="B830" s="1" t="s">
        <v>106</v>
      </c>
      <c r="C830" s="4">
        <v>32</v>
      </c>
      <c r="D830" s="8">
        <v>4.79</v>
      </c>
      <c r="E830" s="4">
        <v>24</v>
      </c>
      <c r="F830" s="8">
        <v>5.48</v>
      </c>
      <c r="G830" s="4">
        <v>8</v>
      </c>
      <c r="H830" s="8">
        <v>3.62</v>
      </c>
      <c r="I830" s="4">
        <v>0</v>
      </c>
    </row>
    <row r="831" spans="1:9" x14ac:dyDescent="0.2">
      <c r="A831" s="2">
        <v>8</v>
      </c>
      <c r="B831" s="1" t="s">
        <v>130</v>
      </c>
      <c r="C831" s="4">
        <v>19</v>
      </c>
      <c r="D831" s="8">
        <v>2.84</v>
      </c>
      <c r="E831" s="4">
        <v>10</v>
      </c>
      <c r="F831" s="8">
        <v>2.2799999999999998</v>
      </c>
      <c r="G831" s="4">
        <v>9</v>
      </c>
      <c r="H831" s="8">
        <v>4.07</v>
      </c>
      <c r="I831" s="4">
        <v>0</v>
      </c>
    </row>
    <row r="832" spans="1:9" x14ac:dyDescent="0.2">
      <c r="A832" s="2">
        <v>8</v>
      </c>
      <c r="B832" s="1" t="s">
        <v>104</v>
      </c>
      <c r="C832" s="4">
        <v>19</v>
      </c>
      <c r="D832" s="8">
        <v>2.84</v>
      </c>
      <c r="E832" s="4">
        <v>13</v>
      </c>
      <c r="F832" s="8">
        <v>2.97</v>
      </c>
      <c r="G832" s="4">
        <v>6</v>
      </c>
      <c r="H832" s="8">
        <v>2.71</v>
      </c>
      <c r="I832" s="4">
        <v>0</v>
      </c>
    </row>
    <row r="833" spans="1:9" x14ac:dyDescent="0.2">
      <c r="A833" s="2">
        <v>10</v>
      </c>
      <c r="B833" s="1" t="s">
        <v>114</v>
      </c>
      <c r="C833" s="4">
        <v>18</v>
      </c>
      <c r="D833" s="8">
        <v>2.69</v>
      </c>
      <c r="E833" s="4">
        <v>12</v>
      </c>
      <c r="F833" s="8">
        <v>2.74</v>
      </c>
      <c r="G833" s="4">
        <v>1</v>
      </c>
      <c r="H833" s="8">
        <v>0.45</v>
      </c>
      <c r="I833" s="4">
        <v>1</v>
      </c>
    </row>
    <row r="834" spans="1:9" x14ac:dyDescent="0.2">
      <c r="A834" s="2">
        <v>11</v>
      </c>
      <c r="B834" s="1" t="s">
        <v>100</v>
      </c>
      <c r="C834" s="4">
        <v>16</v>
      </c>
      <c r="D834" s="8">
        <v>2.4</v>
      </c>
      <c r="E834" s="4">
        <v>6</v>
      </c>
      <c r="F834" s="8">
        <v>1.37</v>
      </c>
      <c r="G834" s="4">
        <v>10</v>
      </c>
      <c r="H834" s="8">
        <v>4.5199999999999996</v>
      </c>
      <c r="I834" s="4">
        <v>0</v>
      </c>
    </row>
    <row r="835" spans="1:9" x14ac:dyDescent="0.2">
      <c r="A835" s="2">
        <v>11</v>
      </c>
      <c r="B835" s="1" t="s">
        <v>123</v>
      </c>
      <c r="C835" s="4">
        <v>16</v>
      </c>
      <c r="D835" s="8">
        <v>2.4</v>
      </c>
      <c r="E835" s="4">
        <v>14</v>
      </c>
      <c r="F835" s="8">
        <v>3.2</v>
      </c>
      <c r="G835" s="4">
        <v>2</v>
      </c>
      <c r="H835" s="8">
        <v>0.9</v>
      </c>
      <c r="I835" s="4">
        <v>0</v>
      </c>
    </row>
    <row r="836" spans="1:9" x14ac:dyDescent="0.2">
      <c r="A836" s="2">
        <v>13</v>
      </c>
      <c r="B836" s="1" t="s">
        <v>110</v>
      </c>
      <c r="C836" s="4">
        <v>15</v>
      </c>
      <c r="D836" s="8">
        <v>2.25</v>
      </c>
      <c r="E836" s="4">
        <v>11</v>
      </c>
      <c r="F836" s="8">
        <v>2.5099999999999998</v>
      </c>
      <c r="G836" s="4">
        <v>4</v>
      </c>
      <c r="H836" s="8">
        <v>1.81</v>
      </c>
      <c r="I836" s="4">
        <v>0</v>
      </c>
    </row>
    <row r="837" spans="1:9" x14ac:dyDescent="0.2">
      <c r="A837" s="2">
        <v>13</v>
      </c>
      <c r="B837" s="1" t="s">
        <v>115</v>
      </c>
      <c r="C837" s="4">
        <v>15</v>
      </c>
      <c r="D837" s="8">
        <v>2.25</v>
      </c>
      <c r="E837" s="4">
        <v>12</v>
      </c>
      <c r="F837" s="8">
        <v>2.74</v>
      </c>
      <c r="G837" s="4">
        <v>3</v>
      </c>
      <c r="H837" s="8">
        <v>1.36</v>
      </c>
      <c r="I837" s="4">
        <v>0</v>
      </c>
    </row>
    <row r="838" spans="1:9" x14ac:dyDescent="0.2">
      <c r="A838" s="2">
        <v>15</v>
      </c>
      <c r="B838" s="1" t="s">
        <v>109</v>
      </c>
      <c r="C838" s="4">
        <v>14</v>
      </c>
      <c r="D838" s="8">
        <v>2.1</v>
      </c>
      <c r="E838" s="4">
        <v>3</v>
      </c>
      <c r="F838" s="8">
        <v>0.68</v>
      </c>
      <c r="G838" s="4">
        <v>11</v>
      </c>
      <c r="H838" s="8">
        <v>4.9800000000000004</v>
      </c>
      <c r="I838" s="4">
        <v>0</v>
      </c>
    </row>
    <row r="839" spans="1:9" x14ac:dyDescent="0.2">
      <c r="A839" s="2">
        <v>16</v>
      </c>
      <c r="B839" s="1" t="s">
        <v>135</v>
      </c>
      <c r="C839" s="4">
        <v>12</v>
      </c>
      <c r="D839" s="8">
        <v>1.8</v>
      </c>
      <c r="E839" s="4">
        <v>8</v>
      </c>
      <c r="F839" s="8">
        <v>1.83</v>
      </c>
      <c r="G839" s="4">
        <v>4</v>
      </c>
      <c r="H839" s="8">
        <v>1.81</v>
      </c>
      <c r="I839" s="4">
        <v>0</v>
      </c>
    </row>
    <row r="840" spans="1:9" x14ac:dyDescent="0.2">
      <c r="A840" s="2">
        <v>16</v>
      </c>
      <c r="B840" s="1" t="s">
        <v>108</v>
      </c>
      <c r="C840" s="4">
        <v>12</v>
      </c>
      <c r="D840" s="8">
        <v>1.8</v>
      </c>
      <c r="E840" s="4">
        <v>4</v>
      </c>
      <c r="F840" s="8">
        <v>0.91</v>
      </c>
      <c r="G840" s="4">
        <v>8</v>
      </c>
      <c r="H840" s="8">
        <v>3.62</v>
      </c>
      <c r="I840" s="4">
        <v>0</v>
      </c>
    </row>
    <row r="841" spans="1:9" x14ac:dyDescent="0.2">
      <c r="A841" s="2">
        <v>18</v>
      </c>
      <c r="B841" s="1" t="s">
        <v>111</v>
      </c>
      <c r="C841" s="4">
        <v>11</v>
      </c>
      <c r="D841" s="8">
        <v>1.65</v>
      </c>
      <c r="E841" s="4">
        <v>7</v>
      </c>
      <c r="F841" s="8">
        <v>1.6</v>
      </c>
      <c r="G841" s="4">
        <v>2</v>
      </c>
      <c r="H841" s="8">
        <v>0.9</v>
      </c>
      <c r="I841" s="4">
        <v>0</v>
      </c>
    </row>
    <row r="842" spans="1:9" x14ac:dyDescent="0.2">
      <c r="A842" s="2">
        <v>19</v>
      </c>
      <c r="B842" s="1" t="s">
        <v>103</v>
      </c>
      <c r="C842" s="4">
        <v>9</v>
      </c>
      <c r="D842" s="8">
        <v>1.35</v>
      </c>
      <c r="E842" s="4">
        <v>5</v>
      </c>
      <c r="F842" s="8">
        <v>1.1399999999999999</v>
      </c>
      <c r="G842" s="4">
        <v>4</v>
      </c>
      <c r="H842" s="8">
        <v>1.81</v>
      </c>
      <c r="I842" s="4">
        <v>0</v>
      </c>
    </row>
    <row r="843" spans="1:9" x14ac:dyDescent="0.2">
      <c r="A843" s="2">
        <v>20</v>
      </c>
      <c r="B843" s="1" t="s">
        <v>131</v>
      </c>
      <c r="C843" s="4">
        <v>7</v>
      </c>
      <c r="D843" s="8">
        <v>1.05</v>
      </c>
      <c r="E843" s="4">
        <v>6</v>
      </c>
      <c r="F843" s="8">
        <v>1.37</v>
      </c>
      <c r="G843" s="4">
        <v>1</v>
      </c>
      <c r="H843" s="8">
        <v>0.45</v>
      </c>
      <c r="I843" s="4">
        <v>0</v>
      </c>
    </row>
    <row r="844" spans="1:9" x14ac:dyDescent="0.2">
      <c r="A844" s="2">
        <v>20</v>
      </c>
      <c r="B844" s="1" t="s">
        <v>136</v>
      </c>
      <c r="C844" s="4">
        <v>7</v>
      </c>
      <c r="D844" s="8">
        <v>1.05</v>
      </c>
      <c r="E844" s="4">
        <v>7</v>
      </c>
      <c r="F844" s="8">
        <v>1.6</v>
      </c>
      <c r="G844" s="4">
        <v>0</v>
      </c>
      <c r="H844" s="8">
        <v>0</v>
      </c>
      <c r="I844" s="4">
        <v>0</v>
      </c>
    </row>
    <row r="845" spans="1:9" x14ac:dyDescent="0.2">
      <c r="A845" s="2">
        <v>20</v>
      </c>
      <c r="B845" s="1" t="s">
        <v>119</v>
      </c>
      <c r="C845" s="4">
        <v>7</v>
      </c>
      <c r="D845" s="8">
        <v>1.05</v>
      </c>
      <c r="E845" s="4">
        <v>6</v>
      </c>
      <c r="F845" s="8">
        <v>1.37</v>
      </c>
      <c r="G845" s="4">
        <v>1</v>
      </c>
      <c r="H845" s="8">
        <v>0.45</v>
      </c>
      <c r="I845" s="4">
        <v>0</v>
      </c>
    </row>
    <row r="846" spans="1:9" x14ac:dyDescent="0.2">
      <c r="A846" s="2">
        <v>20</v>
      </c>
      <c r="B846" s="1" t="s">
        <v>101</v>
      </c>
      <c r="C846" s="4">
        <v>7</v>
      </c>
      <c r="D846" s="8">
        <v>1.05</v>
      </c>
      <c r="E846" s="4">
        <v>4</v>
      </c>
      <c r="F846" s="8">
        <v>0.91</v>
      </c>
      <c r="G846" s="4">
        <v>3</v>
      </c>
      <c r="H846" s="8">
        <v>1.36</v>
      </c>
      <c r="I846" s="4">
        <v>0</v>
      </c>
    </row>
    <row r="847" spans="1:9" x14ac:dyDescent="0.2">
      <c r="A847" s="2">
        <v>20</v>
      </c>
      <c r="B847" s="1" t="s">
        <v>102</v>
      </c>
      <c r="C847" s="4">
        <v>7</v>
      </c>
      <c r="D847" s="8">
        <v>1.05</v>
      </c>
      <c r="E847" s="4">
        <v>3</v>
      </c>
      <c r="F847" s="8">
        <v>0.68</v>
      </c>
      <c r="G847" s="4">
        <v>4</v>
      </c>
      <c r="H847" s="8">
        <v>1.81</v>
      </c>
      <c r="I847" s="4">
        <v>0</v>
      </c>
    </row>
    <row r="848" spans="1:9" x14ac:dyDescent="0.2">
      <c r="A848" s="1"/>
      <c r="C848" s="4"/>
      <c r="D848" s="8"/>
      <c r="E848" s="4"/>
      <c r="F848" s="8"/>
      <c r="G848" s="4"/>
      <c r="H848" s="8"/>
      <c r="I848" s="4"/>
    </row>
    <row r="849" spans="1:9" x14ac:dyDescent="0.2">
      <c r="A849" s="1" t="s">
        <v>38</v>
      </c>
      <c r="C849" s="4"/>
      <c r="D849" s="8"/>
      <c r="E849" s="4"/>
      <c r="F849" s="8"/>
      <c r="G849" s="4"/>
      <c r="H849" s="8"/>
      <c r="I849" s="4"/>
    </row>
    <row r="850" spans="1:9" x14ac:dyDescent="0.2">
      <c r="A850" s="2">
        <v>1</v>
      </c>
      <c r="B850" s="1" t="s">
        <v>113</v>
      </c>
      <c r="C850" s="4">
        <v>63</v>
      </c>
      <c r="D850" s="8">
        <v>13.4</v>
      </c>
      <c r="E850" s="4">
        <v>56</v>
      </c>
      <c r="F850" s="8">
        <v>24.14</v>
      </c>
      <c r="G850" s="4">
        <v>7</v>
      </c>
      <c r="H850" s="8">
        <v>3.1</v>
      </c>
      <c r="I850" s="4">
        <v>0</v>
      </c>
    </row>
    <row r="851" spans="1:9" x14ac:dyDescent="0.2">
      <c r="A851" s="2">
        <v>2</v>
      </c>
      <c r="B851" s="1" t="s">
        <v>98</v>
      </c>
      <c r="C851" s="4">
        <v>48</v>
      </c>
      <c r="D851" s="8">
        <v>10.210000000000001</v>
      </c>
      <c r="E851" s="4">
        <v>11</v>
      </c>
      <c r="F851" s="8">
        <v>4.74</v>
      </c>
      <c r="G851" s="4">
        <v>37</v>
      </c>
      <c r="H851" s="8">
        <v>16.37</v>
      </c>
      <c r="I851" s="4">
        <v>0</v>
      </c>
    </row>
    <row r="852" spans="1:9" x14ac:dyDescent="0.2">
      <c r="A852" s="2">
        <v>3</v>
      </c>
      <c r="B852" s="1" t="s">
        <v>107</v>
      </c>
      <c r="C852" s="4">
        <v>38</v>
      </c>
      <c r="D852" s="8">
        <v>8.09</v>
      </c>
      <c r="E852" s="4">
        <v>15</v>
      </c>
      <c r="F852" s="8">
        <v>6.47</v>
      </c>
      <c r="G852" s="4">
        <v>23</v>
      </c>
      <c r="H852" s="8">
        <v>10.18</v>
      </c>
      <c r="I852" s="4">
        <v>0</v>
      </c>
    </row>
    <row r="853" spans="1:9" x14ac:dyDescent="0.2">
      <c r="A853" s="2">
        <v>4</v>
      </c>
      <c r="B853" s="1" t="s">
        <v>112</v>
      </c>
      <c r="C853" s="4">
        <v>36</v>
      </c>
      <c r="D853" s="8">
        <v>7.66</v>
      </c>
      <c r="E853" s="4">
        <v>29</v>
      </c>
      <c r="F853" s="8">
        <v>12.5</v>
      </c>
      <c r="G853" s="4">
        <v>7</v>
      </c>
      <c r="H853" s="8">
        <v>3.1</v>
      </c>
      <c r="I853" s="4">
        <v>0</v>
      </c>
    </row>
    <row r="854" spans="1:9" x14ac:dyDescent="0.2">
      <c r="A854" s="2">
        <v>5</v>
      </c>
      <c r="B854" s="1" t="s">
        <v>105</v>
      </c>
      <c r="C854" s="4">
        <v>31</v>
      </c>
      <c r="D854" s="8">
        <v>6.6</v>
      </c>
      <c r="E854" s="4">
        <v>21</v>
      </c>
      <c r="F854" s="8">
        <v>9.0500000000000007</v>
      </c>
      <c r="G854" s="4">
        <v>10</v>
      </c>
      <c r="H854" s="8">
        <v>4.42</v>
      </c>
      <c r="I854" s="4">
        <v>0</v>
      </c>
    </row>
    <row r="855" spans="1:9" x14ac:dyDescent="0.2">
      <c r="A855" s="2">
        <v>6</v>
      </c>
      <c r="B855" s="1" t="s">
        <v>106</v>
      </c>
      <c r="C855" s="4">
        <v>23</v>
      </c>
      <c r="D855" s="8">
        <v>4.8899999999999997</v>
      </c>
      <c r="E855" s="4">
        <v>14</v>
      </c>
      <c r="F855" s="8">
        <v>6.03</v>
      </c>
      <c r="G855" s="4">
        <v>9</v>
      </c>
      <c r="H855" s="8">
        <v>3.98</v>
      </c>
      <c r="I855" s="4">
        <v>0</v>
      </c>
    </row>
    <row r="856" spans="1:9" x14ac:dyDescent="0.2">
      <c r="A856" s="2">
        <v>7</v>
      </c>
      <c r="B856" s="1" t="s">
        <v>100</v>
      </c>
      <c r="C856" s="4">
        <v>22</v>
      </c>
      <c r="D856" s="8">
        <v>4.68</v>
      </c>
      <c r="E856" s="4">
        <v>4</v>
      </c>
      <c r="F856" s="8">
        <v>1.72</v>
      </c>
      <c r="G856" s="4">
        <v>18</v>
      </c>
      <c r="H856" s="8">
        <v>7.96</v>
      </c>
      <c r="I856" s="4">
        <v>0</v>
      </c>
    </row>
    <row r="857" spans="1:9" x14ac:dyDescent="0.2">
      <c r="A857" s="2">
        <v>8</v>
      </c>
      <c r="B857" s="1" t="s">
        <v>99</v>
      </c>
      <c r="C857" s="4">
        <v>19</v>
      </c>
      <c r="D857" s="8">
        <v>4.04</v>
      </c>
      <c r="E857" s="4">
        <v>8</v>
      </c>
      <c r="F857" s="8">
        <v>3.45</v>
      </c>
      <c r="G857" s="4">
        <v>11</v>
      </c>
      <c r="H857" s="8">
        <v>4.87</v>
      </c>
      <c r="I857" s="4">
        <v>0</v>
      </c>
    </row>
    <row r="858" spans="1:9" x14ac:dyDescent="0.2">
      <c r="A858" s="2">
        <v>9</v>
      </c>
      <c r="B858" s="1" t="s">
        <v>109</v>
      </c>
      <c r="C858" s="4">
        <v>18</v>
      </c>
      <c r="D858" s="8">
        <v>3.83</v>
      </c>
      <c r="E858" s="4">
        <v>5</v>
      </c>
      <c r="F858" s="8">
        <v>2.16</v>
      </c>
      <c r="G858" s="4">
        <v>13</v>
      </c>
      <c r="H858" s="8">
        <v>5.75</v>
      </c>
      <c r="I858" s="4">
        <v>0</v>
      </c>
    </row>
    <row r="859" spans="1:9" x14ac:dyDescent="0.2">
      <c r="A859" s="2">
        <v>10</v>
      </c>
      <c r="B859" s="1" t="s">
        <v>116</v>
      </c>
      <c r="C859" s="4">
        <v>14</v>
      </c>
      <c r="D859" s="8">
        <v>2.98</v>
      </c>
      <c r="E859" s="4">
        <v>0</v>
      </c>
      <c r="F859" s="8">
        <v>0</v>
      </c>
      <c r="G859" s="4">
        <v>9</v>
      </c>
      <c r="H859" s="8">
        <v>3.98</v>
      </c>
      <c r="I859" s="4">
        <v>0</v>
      </c>
    </row>
    <row r="860" spans="1:9" x14ac:dyDescent="0.2">
      <c r="A860" s="2">
        <v>11</v>
      </c>
      <c r="B860" s="1" t="s">
        <v>115</v>
      </c>
      <c r="C860" s="4">
        <v>12</v>
      </c>
      <c r="D860" s="8">
        <v>2.5499999999999998</v>
      </c>
      <c r="E860" s="4">
        <v>12</v>
      </c>
      <c r="F860" s="8">
        <v>5.17</v>
      </c>
      <c r="G860" s="4">
        <v>0</v>
      </c>
      <c r="H860" s="8">
        <v>0</v>
      </c>
      <c r="I860" s="4">
        <v>0</v>
      </c>
    </row>
    <row r="861" spans="1:9" x14ac:dyDescent="0.2">
      <c r="A861" s="2">
        <v>11</v>
      </c>
      <c r="B861" s="1" t="s">
        <v>123</v>
      </c>
      <c r="C861" s="4">
        <v>12</v>
      </c>
      <c r="D861" s="8">
        <v>2.5499999999999998</v>
      </c>
      <c r="E861" s="4">
        <v>10</v>
      </c>
      <c r="F861" s="8">
        <v>4.3099999999999996</v>
      </c>
      <c r="G861" s="4">
        <v>2</v>
      </c>
      <c r="H861" s="8">
        <v>0.88</v>
      </c>
      <c r="I861" s="4">
        <v>0</v>
      </c>
    </row>
    <row r="862" spans="1:9" x14ac:dyDescent="0.2">
      <c r="A862" s="2">
        <v>13</v>
      </c>
      <c r="B862" s="1" t="s">
        <v>111</v>
      </c>
      <c r="C862" s="4">
        <v>9</v>
      </c>
      <c r="D862" s="8">
        <v>1.91</v>
      </c>
      <c r="E862" s="4">
        <v>5</v>
      </c>
      <c r="F862" s="8">
        <v>2.16</v>
      </c>
      <c r="G862" s="4">
        <v>3</v>
      </c>
      <c r="H862" s="8">
        <v>1.33</v>
      </c>
      <c r="I862" s="4">
        <v>0</v>
      </c>
    </row>
    <row r="863" spans="1:9" x14ac:dyDescent="0.2">
      <c r="A863" s="2">
        <v>13</v>
      </c>
      <c r="B863" s="1" t="s">
        <v>118</v>
      </c>
      <c r="C863" s="4">
        <v>9</v>
      </c>
      <c r="D863" s="8">
        <v>1.91</v>
      </c>
      <c r="E863" s="4">
        <v>3</v>
      </c>
      <c r="F863" s="8">
        <v>1.29</v>
      </c>
      <c r="G863" s="4">
        <v>6</v>
      </c>
      <c r="H863" s="8">
        <v>2.65</v>
      </c>
      <c r="I863" s="4">
        <v>0</v>
      </c>
    </row>
    <row r="864" spans="1:9" x14ac:dyDescent="0.2">
      <c r="A864" s="2">
        <v>13</v>
      </c>
      <c r="B864" s="1" t="s">
        <v>114</v>
      </c>
      <c r="C864" s="4">
        <v>9</v>
      </c>
      <c r="D864" s="8">
        <v>1.91</v>
      </c>
      <c r="E864" s="4">
        <v>5</v>
      </c>
      <c r="F864" s="8">
        <v>2.16</v>
      </c>
      <c r="G864" s="4">
        <v>2</v>
      </c>
      <c r="H864" s="8">
        <v>0.88</v>
      </c>
      <c r="I864" s="4">
        <v>0</v>
      </c>
    </row>
    <row r="865" spans="1:9" x14ac:dyDescent="0.2">
      <c r="A865" s="2">
        <v>16</v>
      </c>
      <c r="B865" s="1" t="s">
        <v>121</v>
      </c>
      <c r="C865" s="4">
        <v>8</v>
      </c>
      <c r="D865" s="8">
        <v>1.7</v>
      </c>
      <c r="E865" s="4">
        <v>3</v>
      </c>
      <c r="F865" s="8">
        <v>1.29</v>
      </c>
      <c r="G865" s="4">
        <v>5</v>
      </c>
      <c r="H865" s="8">
        <v>2.21</v>
      </c>
      <c r="I865" s="4">
        <v>0</v>
      </c>
    </row>
    <row r="866" spans="1:9" x14ac:dyDescent="0.2">
      <c r="A866" s="2">
        <v>17</v>
      </c>
      <c r="B866" s="1" t="s">
        <v>130</v>
      </c>
      <c r="C866" s="4">
        <v>7</v>
      </c>
      <c r="D866" s="8">
        <v>1.49</v>
      </c>
      <c r="E866" s="4">
        <v>4</v>
      </c>
      <c r="F866" s="8">
        <v>1.72</v>
      </c>
      <c r="G866" s="4">
        <v>3</v>
      </c>
      <c r="H866" s="8">
        <v>1.33</v>
      </c>
      <c r="I866" s="4">
        <v>0</v>
      </c>
    </row>
    <row r="867" spans="1:9" x14ac:dyDescent="0.2">
      <c r="A867" s="2">
        <v>17</v>
      </c>
      <c r="B867" s="1" t="s">
        <v>137</v>
      </c>
      <c r="C867" s="4">
        <v>7</v>
      </c>
      <c r="D867" s="8">
        <v>1.49</v>
      </c>
      <c r="E867" s="4">
        <v>0</v>
      </c>
      <c r="F867" s="8">
        <v>0</v>
      </c>
      <c r="G867" s="4">
        <v>7</v>
      </c>
      <c r="H867" s="8">
        <v>3.1</v>
      </c>
      <c r="I867" s="4">
        <v>0</v>
      </c>
    </row>
    <row r="868" spans="1:9" x14ac:dyDescent="0.2">
      <c r="A868" s="2">
        <v>17</v>
      </c>
      <c r="B868" s="1" t="s">
        <v>101</v>
      </c>
      <c r="C868" s="4">
        <v>7</v>
      </c>
      <c r="D868" s="8">
        <v>1.49</v>
      </c>
      <c r="E868" s="4">
        <v>1</v>
      </c>
      <c r="F868" s="8">
        <v>0.43</v>
      </c>
      <c r="G868" s="4">
        <v>6</v>
      </c>
      <c r="H868" s="8">
        <v>2.65</v>
      </c>
      <c r="I868" s="4">
        <v>0</v>
      </c>
    </row>
    <row r="869" spans="1:9" x14ac:dyDescent="0.2">
      <c r="A869" s="2">
        <v>17</v>
      </c>
      <c r="B869" s="1" t="s">
        <v>110</v>
      </c>
      <c r="C869" s="4">
        <v>7</v>
      </c>
      <c r="D869" s="8">
        <v>1.49</v>
      </c>
      <c r="E869" s="4">
        <v>5</v>
      </c>
      <c r="F869" s="8">
        <v>2.16</v>
      </c>
      <c r="G869" s="4">
        <v>2</v>
      </c>
      <c r="H869" s="8">
        <v>0.88</v>
      </c>
      <c r="I869" s="4">
        <v>0</v>
      </c>
    </row>
    <row r="870" spans="1:9" x14ac:dyDescent="0.2">
      <c r="A870" s="1"/>
      <c r="C870" s="4"/>
      <c r="D870" s="8"/>
      <c r="E870" s="4"/>
      <c r="F870" s="8"/>
      <c r="G870" s="4"/>
      <c r="H870" s="8"/>
      <c r="I870" s="4"/>
    </row>
    <row r="871" spans="1:9" x14ac:dyDescent="0.2">
      <c r="A871" s="1" t="s">
        <v>39</v>
      </c>
      <c r="C871" s="4"/>
      <c r="D871" s="8"/>
      <c r="E871" s="4"/>
      <c r="F871" s="8"/>
      <c r="G871" s="4"/>
      <c r="H871" s="8"/>
      <c r="I871" s="4"/>
    </row>
    <row r="872" spans="1:9" x14ac:dyDescent="0.2">
      <c r="A872" s="2">
        <v>1</v>
      </c>
      <c r="B872" s="1" t="s">
        <v>113</v>
      </c>
      <c r="C872" s="4">
        <v>102</v>
      </c>
      <c r="D872" s="8">
        <v>14.27</v>
      </c>
      <c r="E872" s="4">
        <v>94</v>
      </c>
      <c r="F872" s="8">
        <v>20.8</v>
      </c>
      <c r="G872" s="4">
        <v>8</v>
      </c>
      <c r="H872" s="8">
        <v>3.4</v>
      </c>
      <c r="I872" s="4">
        <v>0</v>
      </c>
    </row>
    <row r="873" spans="1:9" x14ac:dyDescent="0.2">
      <c r="A873" s="2">
        <v>2</v>
      </c>
      <c r="B873" s="1" t="s">
        <v>98</v>
      </c>
      <c r="C873" s="4">
        <v>72</v>
      </c>
      <c r="D873" s="8">
        <v>10.07</v>
      </c>
      <c r="E873" s="4">
        <v>22</v>
      </c>
      <c r="F873" s="8">
        <v>4.87</v>
      </c>
      <c r="G873" s="4">
        <v>50</v>
      </c>
      <c r="H873" s="8">
        <v>21.28</v>
      </c>
      <c r="I873" s="4">
        <v>0</v>
      </c>
    </row>
    <row r="874" spans="1:9" x14ac:dyDescent="0.2">
      <c r="A874" s="2">
        <v>3</v>
      </c>
      <c r="B874" s="1" t="s">
        <v>107</v>
      </c>
      <c r="C874" s="4">
        <v>68</v>
      </c>
      <c r="D874" s="8">
        <v>9.51</v>
      </c>
      <c r="E874" s="4">
        <v>45</v>
      </c>
      <c r="F874" s="8">
        <v>9.9600000000000009</v>
      </c>
      <c r="G874" s="4">
        <v>23</v>
      </c>
      <c r="H874" s="8">
        <v>9.7899999999999991</v>
      </c>
      <c r="I874" s="4">
        <v>0</v>
      </c>
    </row>
    <row r="875" spans="1:9" x14ac:dyDescent="0.2">
      <c r="A875" s="2">
        <v>4</v>
      </c>
      <c r="B875" s="1" t="s">
        <v>112</v>
      </c>
      <c r="C875" s="4">
        <v>59</v>
      </c>
      <c r="D875" s="8">
        <v>8.25</v>
      </c>
      <c r="E875" s="4">
        <v>55</v>
      </c>
      <c r="F875" s="8">
        <v>12.17</v>
      </c>
      <c r="G875" s="4">
        <v>4</v>
      </c>
      <c r="H875" s="8">
        <v>1.7</v>
      </c>
      <c r="I875" s="4">
        <v>0</v>
      </c>
    </row>
    <row r="876" spans="1:9" x14ac:dyDescent="0.2">
      <c r="A876" s="2">
        <v>5</v>
      </c>
      <c r="B876" s="1" t="s">
        <v>105</v>
      </c>
      <c r="C876" s="4">
        <v>53</v>
      </c>
      <c r="D876" s="8">
        <v>7.41</v>
      </c>
      <c r="E876" s="4">
        <v>42</v>
      </c>
      <c r="F876" s="8">
        <v>9.2899999999999991</v>
      </c>
      <c r="G876" s="4">
        <v>11</v>
      </c>
      <c r="H876" s="8">
        <v>4.68</v>
      </c>
      <c r="I876" s="4">
        <v>0</v>
      </c>
    </row>
    <row r="877" spans="1:9" x14ac:dyDescent="0.2">
      <c r="A877" s="2">
        <v>6</v>
      </c>
      <c r="B877" s="1" t="s">
        <v>106</v>
      </c>
      <c r="C877" s="4">
        <v>31</v>
      </c>
      <c r="D877" s="8">
        <v>4.34</v>
      </c>
      <c r="E877" s="4">
        <v>27</v>
      </c>
      <c r="F877" s="8">
        <v>5.97</v>
      </c>
      <c r="G877" s="4">
        <v>4</v>
      </c>
      <c r="H877" s="8">
        <v>1.7</v>
      </c>
      <c r="I877" s="4">
        <v>0</v>
      </c>
    </row>
    <row r="878" spans="1:9" x14ac:dyDescent="0.2">
      <c r="A878" s="2">
        <v>7</v>
      </c>
      <c r="B878" s="1" t="s">
        <v>116</v>
      </c>
      <c r="C878" s="4">
        <v>29</v>
      </c>
      <c r="D878" s="8">
        <v>4.0599999999999996</v>
      </c>
      <c r="E878" s="4">
        <v>0</v>
      </c>
      <c r="F878" s="8">
        <v>0</v>
      </c>
      <c r="G878" s="4">
        <v>16</v>
      </c>
      <c r="H878" s="8">
        <v>6.81</v>
      </c>
      <c r="I878" s="4">
        <v>0</v>
      </c>
    </row>
    <row r="879" spans="1:9" x14ac:dyDescent="0.2">
      <c r="A879" s="2">
        <v>8</v>
      </c>
      <c r="B879" s="1" t="s">
        <v>115</v>
      </c>
      <c r="C879" s="4">
        <v>28</v>
      </c>
      <c r="D879" s="8">
        <v>3.92</v>
      </c>
      <c r="E879" s="4">
        <v>27</v>
      </c>
      <c r="F879" s="8">
        <v>5.97</v>
      </c>
      <c r="G879" s="4">
        <v>1</v>
      </c>
      <c r="H879" s="8">
        <v>0.43</v>
      </c>
      <c r="I879" s="4">
        <v>0</v>
      </c>
    </row>
    <row r="880" spans="1:9" x14ac:dyDescent="0.2">
      <c r="A880" s="2">
        <v>9</v>
      </c>
      <c r="B880" s="1" t="s">
        <v>99</v>
      </c>
      <c r="C880" s="4">
        <v>27</v>
      </c>
      <c r="D880" s="8">
        <v>3.78</v>
      </c>
      <c r="E880" s="4">
        <v>23</v>
      </c>
      <c r="F880" s="8">
        <v>5.09</v>
      </c>
      <c r="G880" s="4">
        <v>4</v>
      </c>
      <c r="H880" s="8">
        <v>1.7</v>
      </c>
      <c r="I880" s="4">
        <v>0</v>
      </c>
    </row>
    <row r="881" spans="1:9" x14ac:dyDescent="0.2">
      <c r="A881" s="2">
        <v>10</v>
      </c>
      <c r="B881" s="1" t="s">
        <v>123</v>
      </c>
      <c r="C881" s="4">
        <v>22</v>
      </c>
      <c r="D881" s="8">
        <v>3.08</v>
      </c>
      <c r="E881" s="4">
        <v>19</v>
      </c>
      <c r="F881" s="8">
        <v>4.2</v>
      </c>
      <c r="G881" s="4">
        <v>3</v>
      </c>
      <c r="H881" s="8">
        <v>1.28</v>
      </c>
      <c r="I881" s="4">
        <v>0</v>
      </c>
    </row>
    <row r="882" spans="1:9" x14ac:dyDescent="0.2">
      <c r="A882" s="2">
        <v>11</v>
      </c>
      <c r="B882" s="1" t="s">
        <v>114</v>
      </c>
      <c r="C882" s="4">
        <v>18</v>
      </c>
      <c r="D882" s="8">
        <v>2.52</v>
      </c>
      <c r="E882" s="4">
        <v>9</v>
      </c>
      <c r="F882" s="8">
        <v>1.99</v>
      </c>
      <c r="G882" s="4">
        <v>1</v>
      </c>
      <c r="H882" s="8">
        <v>0.43</v>
      </c>
      <c r="I882" s="4">
        <v>1</v>
      </c>
    </row>
    <row r="883" spans="1:9" x14ac:dyDescent="0.2">
      <c r="A883" s="2">
        <v>12</v>
      </c>
      <c r="B883" s="1" t="s">
        <v>100</v>
      </c>
      <c r="C883" s="4">
        <v>17</v>
      </c>
      <c r="D883" s="8">
        <v>2.38</v>
      </c>
      <c r="E883" s="4">
        <v>7</v>
      </c>
      <c r="F883" s="8">
        <v>1.55</v>
      </c>
      <c r="G883" s="4">
        <v>10</v>
      </c>
      <c r="H883" s="8">
        <v>4.26</v>
      </c>
      <c r="I883" s="4">
        <v>0</v>
      </c>
    </row>
    <row r="884" spans="1:9" x14ac:dyDescent="0.2">
      <c r="A884" s="2">
        <v>13</v>
      </c>
      <c r="B884" s="1" t="s">
        <v>109</v>
      </c>
      <c r="C884" s="4">
        <v>14</v>
      </c>
      <c r="D884" s="8">
        <v>1.96</v>
      </c>
      <c r="E884" s="4">
        <v>4</v>
      </c>
      <c r="F884" s="8">
        <v>0.88</v>
      </c>
      <c r="G884" s="4">
        <v>10</v>
      </c>
      <c r="H884" s="8">
        <v>4.26</v>
      </c>
      <c r="I884" s="4">
        <v>0</v>
      </c>
    </row>
    <row r="885" spans="1:9" x14ac:dyDescent="0.2">
      <c r="A885" s="2">
        <v>14</v>
      </c>
      <c r="B885" s="1" t="s">
        <v>104</v>
      </c>
      <c r="C885" s="4">
        <v>13</v>
      </c>
      <c r="D885" s="8">
        <v>1.82</v>
      </c>
      <c r="E885" s="4">
        <v>8</v>
      </c>
      <c r="F885" s="8">
        <v>1.77</v>
      </c>
      <c r="G885" s="4">
        <v>5</v>
      </c>
      <c r="H885" s="8">
        <v>2.13</v>
      </c>
      <c r="I885" s="4">
        <v>0</v>
      </c>
    </row>
    <row r="886" spans="1:9" x14ac:dyDescent="0.2">
      <c r="A886" s="2">
        <v>14</v>
      </c>
      <c r="B886" s="1" t="s">
        <v>111</v>
      </c>
      <c r="C886" s="4">
        <v>13</v>
      </c>
      <c r="D886" s="8">
        <v>1.82</v>
      </c>
      <c r="E886" s="4">
        <v>6</v>
      </c>
      <c r="F886" s="8">
        <v>1.33</v>
      </c>
      <c r="G886" s="4">
        <v>7</v>
      </c>
      <c r="H886" s="8">
        <v>2.98</v>
      </c>
      <c r="I886" s="4">
        <v>0</v>
      </c>
    </row>
    <row r="887" spans="1:9" x14ac:dyDescent="0.2">
      <c r="A887" s="2">
        <v>16</v>
      </c>
      <c r="B887" s="1" t="s">
        <v>118</v>
      </c>
      <c r="C887" s="4">
        <v>12</v>
      </c>
      <c r="D887" s="8">
        <v>1.68</v>
      </c>
      <c r="E887" s="4">
        <v>6</v>
      </c>
      <c r="F887" s="8">
        <v>1.33</v>
      </c>
      <c r="G887" s="4">
        <v>6</v>
      </c>
      <c r="H887" s="8">
        <v>2.5499999999999998</v>
      </c>
      <c r="I887" s="4">
        <v>0</v>
      </c>
    </row>
    <row r="888" spans="1:9" x14ac:dyDescent="0.2">
      <c r="A888" s="2">
        <v>17</v>
      </c>
      <c r="B888" s="1" t="s">
        <v>130</v>
      </c>
      <c r="C888" s="4">
        <v>10</v>
      </c>
      <c r="D888" s="8">
        <v>1.4</v>
      </c>
      <c r="E888" s="4">
        <v>5</v>
      </c>
      <c r="F888" s="8">
        <v>1.1100000000000001</v>
      </c>
      <c r="G888" s="4">
        <v>5</v>
      </c>
      <c r="H888" s="8">
        <v>2.13</v>
      </c>
      <c r="I888" s="4">
        <v>0</v>
      </c>
    </row>
    <row r="889" spans="1:9" x14ac:dyDescent="0.2">
      <c r="A889" s="2">
        <v>17</v>
      </c>
      <c r="B889" s="1" t="s">
        <v>131</v>
      </c>
      <c r="C889" s="4">
        <v>10</v>
      </c>
      <c r="D889" s="8">
        <v>1.4</v>
      </c>
      <c r="E889" s="4">
        <v>9</v>
      </c>
      <c r="F889" s="8">
        <v>1.99</v>
      </c>
      <c r="G889" s="4">
        <v>1</v>
      </c>
      <c r="H889" s="8">
        <v>0.43</v>
      </c>
      <c r="I889" s="4">
        <v>0</v>
      </c>
    </row>
    <row r="890" spans="1:9" x14ac:dyDescent="0.2">
      <c r="A890" s="2">
        <v>17</v>
      </c>
      <c r="B890" s="1" t="s">
        <v>121</v>
      </c>
      <c r="C890" s="4">
        <v>10</v>
      </c>
      <c r="D890" s="8">
        <v>1.4</v>
      </c>
      <c r="E890" s="4">
        <v>8</v>
      </c>
      <c r="F890" s="8">
        <v>1.77</v>
      </c>
      <c r="G890" s="4">
        <v>2</v>
      </c>
      <c r="H890" s="8">
        <v>0.85</v>
      </c>
      <c r="I890" s="4">
        <v>0</v>
      </c>
    </row>
    <row r="891" spans="1:9" x14ac:dyDescent="0.2">
      <c r="A891" s="2">
        <v>20</v>
      </c>
      <c r="B891" s="1" t="s">
        <v>101</v>
      </c>
      <c r="C891" s="4">
        <v>9</v>
      </c>
      <c r="D891" s="8">
        <v>1.26</v>
      </c>
      <c r="E891" s="4">
        <v>5</v>
      </c>
      <c r="F891" s="8">
        <v>1.1100000000000001</v>
      </c>
      <c r="G891" s="4">
        <v>4</v>
      </c>
      <c r="H891" s="8">
        <v>1.7</v>
      </c>
      <c r="I891" s="4">
        <v>0</v>
      </c>
    </row>
    <row r="892" spans="1:9" x14ac:dyDescent="0.2">
      <c r="A892" s="2">
        <v>20</v>
      </c>
      <c r="B892" s="1" t="s">
        <v>110</v>
      </c>
      <c r="C892" s="4">
        <v>9</v>
      </c>
      <c r="D892" s="8">
        <v>1.26</v>
      </c>
      <c r="E892" s="4">
        <v>6</v>
      </c>
      <c r="F892" s="8">
        <v>1.33</v>
      </c>
      <c r="G892" s="4">
        <v>3</v>
      </c>
      <c r="H892" s="8">
        <v>1.28</v>
      </c>
      <c r="I892" s="4">
        <v>0</v>
      </c>
    </row>
    <row r="893" spans="1:9" x14ac:dyDescent="0.2">
      <c r="A893" s="1"/>
      <c r="C893" s="4"/>
      <c r="D893" s="8"/>
      <c r="E893" s="4"/>
      <c r="F893" s="8"/>
      <c r="G893" s="4"/>
      <c r="H893" s="8"/>
      <c r="I893" s="4"/>
    </row>
    <row r="894" spans="1:9" x14ac:dyDescent="0.2">
      <c r="A894" s="1" t="s">
        <v>40</v>
      </c>
      <c r="C894" s="4"/>
      <c r="D894" s="8"/>
      <c r="E894" s="4"/>
      <c r="F894" s="8"/>
      <c r="G894" s="4"/>
      <c r="H894" s="8"/>
      <c r="I894" s="4"/>
    </row>
    <row r="895" spans="1:9" x14ac:dyDescent="0.2">
      <c r="A895" s="2">
        <v>1</v>
      </c>
      <c r="B895" s="1" t="s">
        <v>113</v>
      </c>
      <c r="C895" s="4">
        <v>138</v>
      </c>
      <c r="D895" s="8">
        <v>10.42</v>
      </c>
      <c r="E895" s="4">
        <v>121</v>
      </c>
      <c r="F895" s="8">
        <v>15.92</v>
      </c>
      <c r="G895" s="4">
        <v>17</v>
      </c>
      <c r="H895" s="8">
        <v>3.07</v>
      </c>
      <c r="I895" s="4">
        <v>0</v>
      </c>
    </row>
    <row r="896" spans="1:9" x14ac:dyDescent="0.2">
      <c r="A896" s="2">
        <v>2</v>
      </c>
      <c r="B896" s="1" t="s">
        <v>107</v>
      </c>
      <c r="C896" s="4">
        <v>137</v>
      </c>
      <c r="D896" s="8">
        <v>10.35</v>
      </c>
      <c r="E896" s="4">
        <v>74</v>
      </c>
      <c r="F896" s="8">
        <v>9.74</v>
      </c>
      <c r="G896" s="4">
        <v>63</v>
      </c>
      <c r="H896" s="8">
        <v>11.39</v>
      </c>
      <c r="I896" s="4">
        <v>0</v>
      </c>
    </row>
    <row r="897" spans="1:9" x14ac:dyDescent="0.2">
      <c r="A897" s="2">
        <v>3</v>
      </c>
      <c r="B897" s="1" t="s">
        <v>112</v>
      </c>
      <c r="C897" s="4">
        <v>135</v>
      </c>
      <c r="D897" s="8">
        <v>10.199999999999999</v>
      </c>
      <c r="E897" s="4">
        <v>122</v>
      </c>
      <c r="F897" s="8">
        <v>16.05</v>
      </c>
      <c r="G897" s="4">
        <v>13</v>
      </c>
      <c r="H897" s="8">
        <v>2.35</v>
      </c>
      <c r="I897" s="4">
        <v>0</v>
      </c>
    </row>
    <row r="898" spans="1:9" x14ac:dyDescent="0.2">
      <c r="A898" s="2">
        <v>4</v>
      </c>
      <c r="B898" s="1" t="s">
        <v>98</v>
      </c>
      <c r="C898" s="4">
        <v>110</v>
      </c>
      <c r="D898" s="8">
        <v>8.31</v>
      </c>
      <c r="E898" s="4">
        <v>35</v>
      </c>
      <c r="F898" s="8">
        <v>4.6100000000000003</v>
      </c>
      <c r="G898" s="4">
        <v>75</v>
      </c>
      <c r="H898" s="8">
        <v>13.56</v>
      </c>
      <c r="I898" s="4">
        <v>0</v>
      </c>
    </row>
    <row r="899" spans="1:9" x14ac:dyDescent="0.2">
      <c r="A899" s="2">
        <v>5</v>
      </c>
      <c r="B899" s="1" t="s">
        <v>105</v>
      </c>
      <c r="C899" s="4">
        <v>77</v>
      </c>
      <c r="D899" s="8">
        <v>5.82</v>
      </c>
      <c r="E899" s="4">
        <v>60</v>
      </c>
      <c r="F899" s="8">
        <v>7.89</v>
      </c>
      <c r="G899" s="4">
        <v>17</v>
      </c>
      <c r="H899" s="8">
        <v>3.07</v>
      </c>
      <c r="I899" s="4">
        <v>0</v>
      </c>
    </row>
    <row r="900" spans="1:9" x14ac:dyDescent="0.2">
      <c r="A900" s="2">
        <v>6</v>
      </c>
      <c r="B900" s="1" t="s">
        <v>106</v>
      </c>
      <c r="C900" s="4">
        <v>63</v>
      </c>
      <c r="D900" s="8">
        <v>4.76</v>
      </c>
      <c r="E900" s="4">
        <v>44</v>
      </c>
      <c r="F900" s="8">
        <v>5.79</v>
      </c>
      <c r="G900" s="4">
        <v>19</v>
      </c>
      <c r="H900" s="8">
        <v>3.44</v>
      </c>
      <c r="I900" s="4">
        <v>0</v>
      </c>
    </row>
    <row r="901" spans="1:9" x14ac:dyDescent="0.2">
      <c r="A901" s="2">
        <v>7</v>
      </c>
      <c r="B901" s="1" t="s">
        <v>99</v>
      </c>
      <c r="C901" s="4">
        <v>56</v>
      </c>
      <c r="D901" s="8">
        <v>4.2300000000000004</v>
      </c>
      <c r="E901" s="4">
        <v>28</v>
      </c>
      <c r="F901" s="8">
        <v>3.68</v>
      </c>
      <c r="G901" s="4">
        <v>28</v>
      </c>
      <c r="H901" s="8">
        <v>5.0599999999999996</v>
      </c>
      <c r="I901" s="4">
        <v>0</v>
      </c>
    </row>
    <row r="902" spans="1:9" x14ac:dyDescent="0.2">
      <c r="A902" s="2">
        <v>8</v>
      </c>
      <c r="B902" s="1" t="s">
        <v>109</v>
      </c>
      <c r="C902" s="4">
        <v>52</v>
      </c>
      <c r="D902" s="8">
        <v>3.93</v>
      </c>
      <c r="E902" s="4">
        <v>21</v>
      </c>
      <c r="F902" s="8">
        <v>2.76</v>
      </c>
      <c r="G902" s="4">
        <v>31</v>
      </c>
      <c r="H902" s="8">
        <v>5.61</v>
      </c>
      <c r="I902" s="4">
        <v>0</v>
      </c>
    </row>
    <row r="903" spans="1:9" x14ac:dyDescent="0.2">
      <c r="A903" s="2">
        <v>9</v>
      </c>
      <c r="B903" s="1" t="s">
        <v>100</v>
      </c>
      <c r="C903" s="4">
        <v>42</v>
      </c>
      <c r="D903" s="8">
        <v>3.17</v>
      </c>
      <c r="E903" s="4">
        <v>22</v>
      </c>
      <c r="F903" s="8">
        <v>2.89</v>
      </c>
      <c r="G903" s="4">
        <v>20</v>
      </c>
      <c r="H903" s="8">
        <v>3.62</v>
      </c>
      <c r="I903" s="4">
        <v>0</v>
      </c>
    </row>
    <row r="904" spans="1:9" x14ac:dyDescent="0.2">
      <c r="A904" s="2">
        <v>10</v>
      </c>
      <c r="B904" s="1" t="s">
        <v>115</v>
      </c>
      <c r="C904" s="4">
        <v>41</v>
      </c>
      <c r="D904" s="8">
        <v>3.1</v>
      </c>
      <c r="E904" s="4">
        <v>34</v>
      </c>
      <c r="F904" s="8">
        <v>4.47</v>
      </c>
      <c r="G904" s="4">
        <v>7</v>
      </c>
      <c r="H904" s="8">
        <v>1.27</v>
      </c>
      <c r="I904" s="4">
        <v>0</v>
      </c>
    </row>
    <row r="905" spans="1:9" x14ac:dyDescent="0.2">
      <c r="A905" s="2">
        <v>11</v>
      </c>
      <c r="B905" s="1" t="s">
        <v>104</v>
      </c>
      <c r="C905" s="4">
        <v>36</v>
      </c>
      <c r="D905" s="8">
        <v>2.72</v>
      </c>
      <c r="E905" s="4">
        <v>18</v>
      </c>
      <c r="F905" s="8">
        <v>2.37</v>
      </c>
      <c r="G905" s="4">
        <v>18</v>
      </c>
      <c r="H905" s="8">
        <v>3.25</v>
      </c>
      <c r="I905" s="4">
        <v>0</v>
      </c>
    </row>
    <row r="906" spans="1:9" x14ac:dyDescent="0.2">
      <c r="A906" s="2">
        <v>12</v>
      </c>
      <c r="B906" s="1" t="s">
        <v>110</v>
      </c>
      <c r="C906" s="4">
        <v>33</v>
      </c>
      <c r="D906" s="8">
        <v>2.4900000000000002</v>
      </c>
      <c r="E906" s="4">
        <v>23</v>
      </c>
      <c r="F906" s="8">
        <v>3.03</v>
      </c>
      <c r="G906" s="4">
        <v>9</v>
      </c>
      <c r="H906" s="8">
        <v>1.63</v>
      </c>
      <c r="I906" s="4">
        <v>1</v>
      </c>
    </row>
    <row r="907" spans="1:9" x14ac:dyDescent="0.2">
      <c r="A907" s="2">
        <v>13</v>
      </c>
      <c r="B907" s="1" t="s">
        <v>130</v>
      </c>
      <c r="C907" s="4">
        <v>29</v>
      </c>
      <c r="D907" s="8">
        <v>2.19</v>
      </c>
      <c r="E907" s="4">
        <v>12</v>
      </c>
      <c r="F907" s="8">
        <v>1.58</v>
      </c>
      <c r="G907" s="4">
        <v>17</v>
      </c>
      <c r="H907" s="8">
        <v>3.07</v>
      </c>
      <c r="I907" s="4">
        <v>0</v>
      </c>
    </row>
    <row r="908" spans="1:9" x14ac:dyDescent="0.2">
      <c r="A908" s="2">
        <v>14</v>
      </c>
      <c r="B908" s="1" t="s">
        <v>123</v>
      </c>
      <c r="C908" s="4">
        <v>26</v>
      </c>
      <c r="D908" s="8">
        <v>1.96</v>
      </c>
      <c r="E908" s="4">
        <v>21</v>
      </c>
      <c r="F908" s="8">
        <v>2.76</v>
      </c>
      <c r="G908" s="4">
        <v>5</v>
      </c>
      <c r="H908" s="8">
        <v>0.9</v>
      </c>
      <c r="I908" s="4">
        <v>0</v>
      </c>
    </row>
    <row r="909" spans="1:9" x14ac:dyDescent="0.2">
      <c r="A909" s="2">
        <v>15</v>
      </c>
      <c r="B909" s="1" t="s">
        <v>124</v>
      </c>
      <c r="C909" s="4">
        <v>23</v>
      </c>
      <c r="D909" s="8">
        <v>1.74</v>
      </c>
      <c r="E909" s="4">
        <v>9</v>
      </c>
      <c r="F909" s="8">
        <v>1.18</v>
      </c>
      <c r="G909" s="4">
        <v>14</v>
      </c>
      <c r="H909" s="8">
        <v>2.5299999999999998</v>
      </c>
      <c r="I909" s="4">
        <v>0</v>
      </c>
    </row>
    <row r="910" spans="1:9" x14ac:dyDescent="0.2">
      <c r="A910" s="2">
        <v>15</v>
      </c>
      <c r="B910" s="1" t="s">
        <v>114</v>
      </c>
      <c r="C910" s="4">
        <v>23</v>
      </c>
      <c r="D910" s="8">
        <v>1.74</v>
      </c>
      <c r="E910" s="4">
        <v>16</v>
      </c>
      <c r="F910" s="8">
        <v>2.11</v>
      </c>
      <c r="G910" s="4">
        <v>6</v>
      </c>
      <c r="H910" s="8">
        <v>1.08</v>
      </c>
      <c r="I910" s="4">
        <v>0</v>
      </c>
    </row>
    <row r="911" spans="1:9" x14ac:dyDescent="0.2">
      <c r="A911" s="2">
        <v>17</v>
      </c>
      <c r="B911" s="1" t="s">
        <v>111</v>
      </c>
      <c r="C911" s="4">
        <v>21</v>
      </c>
      <c r="D911" s="8">
        <v>1.59</v>
      </c>
      <c r="E911" s="4">
        <v>10</v>
      </c>
      <c r="F911" s="8">
        <v>1.32</v>
      </c>
      <c r="G911" s="4">
        <v>11</v>
      </c>
      <c r="H911" s="8">
        <v>1.99</v>
      </c>
      <c r="I911" s="4">
        <v>0</v>
      </c>
    </row>
    <row r="912" spans="1:9" x14ac:dyDescent="0.2">
      <c r="A912" s="2">
        <v>18</v>
      </c>
      <c r="B912" s="1" t="s">
        <v>119</v>
      </c>
      <c r="C912" s="4">
        <v>20</v>
      </c>
      <c r="D912" s="8">
        <v>1.51</v>
      </c>
      <c r="E912" s="4">
        <v>7</v>
      </c>
      <c r="F912" s="8">
        <v>0.92</v>
      </c>
      <c r="G912" s="4">
        <v>13</v>
      </c>
      <c r="H912" s="8">
        <v>2.35</v>
      </c>
      <c r="I912" s="4">
        <v>0</v>
      </c>
    </row>
    <row r="913" spans="1:9" x14ac:dyDescent="0.2">
      <c r="A913" s="2">
        <v>19</v>
      </c>
      <c r="B913" s="1" t="s">
        <v>118</v>
      </c>
      <c r="C913" s="4">
        <v>18</v>
      </c>
      <c r="D913" s="8">
        <v>1.36</v>
      </c>
      <c r="E913" s="4">
        <v>9</v>
      </c>
      <c r="F913" s="8">
        <v>1.18</v>
      </c>
      <c r="G913" s="4">
        <v>9</v>
      </c>
      <c r="H913" s="8">
        <v>1.63</v>
      </c>
      <c r="I913" s="4">
        <v>0</v>
      </c>
    </row>
    <row r="914" spans="1:9" x14ac:dyDescent="0.2">
      <c r="A914" s="2">
        <v>20</v>
      </c>
      <c r="B914" s="1" t="s">
        <v>101</v>
      </c>
      <c r="C914" s="4">
        <v>16</v>
      </c>
      <c r="D914" s="8">
        <v>1.21</v>
      </c>
      <c r="E914" s="4">
        <v>5</v>
      </c>
      <c r="F914" s="8">
        <v>0.66</v>
      </c>
      <c r="G914" s="4">
        <v>11</v>
      </c>
      <c r="H914" s="8">
        <v>1.99</v>
      </c>
      <c r="I914" s="4">
        <v>0</v>
      </c>
    </row>
    <row r="915" spans="1:9" x14ac:dyDescent="0.2">
      <c r="A915" s="1"/>
      <c r="C915" s="4"/>
      <c r="D915" s="8"/>
      <c r="E915" s="4"/>
      <c r="F915" s="8"/>
      <c r="G915" s="4"/>
      <c r="H915" s="8"/>
      <c r="I915" s="4"/>
    </row>
    <row r="916" spans="1:9" x14ac:dyDescent="0.2">
      <c r="A916" s="1" t="s">
        <v>41</v>
      </c>
      <c r="C916" s="4"/>
      <c r="D916" s="8"/>
      <c r="E916" s="4"/>
      <c r="F916" s="8"/>
      <c r="G916" s="4"/>
      <c r="H916" s="8"/>
      <c r="I916" s="4"/>
    </row>
    <row r="917" spans="1:9" x14ac:dyDescent="0.2">
      <c r="A917" s="2">
        <v>1</v>
      </c>
      <c r="B917" s="1" t="s">
        <v>98</v>
      </c>
      <c r="C917" s="4">
        <v>106</v>
      </c>
      <c r="D917" s="8">
        <v>12</v>
      </c>
      <c r="E917" s="4">
        <v>52</v>
      </c>
      <c r="F917" s="8">
        <v>9.01</v>
      </c>
      <c r="G917" s="4">
        <v>54</v>
      </c>
      <c r="H917" s="8">
        <v>18.309999999999999</v>
      </c>
      <c r="I917" s="4">
        <v>0</v>
      </c>
    </row>
    <row r="918" spans="1:9" x14ac:dyDescent="0.2">
      <c r="A918" s="2">
        <v>2</v>
      </c>
      <c r="B918" s="1" t="s">
        <v>113</v>
      </c>
      <c r="C918" s="4">
        <v>98</v>
      </c>
      <c r="D918" s="8">
        <v>11.1</v>
      </c>
      <c r="E918" s="4">
        <v>94</v>
      </c>
      <c r="F918" s="8">
        <v>16.29</v>
      </c>
      <c r="G918" s="4">
        <v>4</v>
      </c>
      <c r="H918" s="8">
        <v>1.36</v>
      </c>
      <c r="I918" s="4">
        <v>0</v>
      </c>
    </row>
    <row r="919" spans="1:9" x14ac:dyDescent="0.2">
      <c r="A919" s="2">
        <v>3</v>
      </c>
      <c r="B919" s="1" t="s">
        <v>107</v>
      </c>
      <c r="C919" s="4">
        <v>75</v>
      </c>
      <c r="D919" s="8">
        <v>8.49</v>
      </c>
      <c r="E919" s="4">
        <v>42</v>
      </c>
      <c r="F919" s="8">
        <v>7.28</v>
      </c>
      <c r="G919" s="4">
        <v>33</v>
      </c>
      <c r="H919" s="8">
        <v>11.19</v>
      </c>
      <c r="I919" s="4">
        <v>0</v>
      </c>
    </row>
    <row r="920" spans="1:9" x14ac:dyDescent="0.2">
      <c r="A920" s="2">
        <v>4</v>
      </c>
      <c r="B920" s="1" t="s">
        <v>105</v>
      </c>
      <c r="C920" s="4">
        <v>64</v>
      </c>
      <c r="D920" s="8">
        <v>7.25</v>
      </c>
      <c r="E920" s="4">
        <v>58</v>
      </c>
      <c r="F920" s="8">
        <v>10.050000000000001</v>
      </c>
      <c r="G920" s="4">
        <v>5</v>
      </c>
      <c r="H920" s="8">
        <v>1.69</v>
      </c>
      <c r="I920" s="4">
        <v>1</v>
      </c>
    </row>
    <row r="921" spans="1:9" x14ac:dyDescent="0.2">
      <c r="A921" s="2">
        <v>5</v>
      </c>
      <c r="B921" s="1" t="s">
        <v>112</v>
      </c>
      <c r="C921" s="4">
        <v>45</v>
      </c>
      <c r="D921" s="8">
        <v>5.0999999999999996</v>
      </c>
      <c r="E921" s="4">
        <v>44</v>
      </c>
      <c r="F921" s="8">
        <v>7.63</v>
      </c>
      <c r="G921" s="4">
        <v>1</v>
      </c>
      <c r="H921" s="8">
        <v>0.34</v>
      </c>
      <c r="I921" s="4">
        <v>0</v>
      </c>
    </row>
    <row r="922" spans="1:9" x14ac:dyDescent="0.2">
      <c r="A922" s="2">
        <v>6</v>
      </c>
      <c r="B922" s="1" t="s">
        <v>99</v>
      </c>
      <c r="C922" s="4">
        <v>42</v>
      </c>
      <c r="D922" s="8">
        <v>4.76</v>
      </c>
      <c r="E922" s="4">
        <v>34</v>
      </c>
      <c r="F922" s="8">
        <v>5.89</v>
      </c>
      <c r="G922" s="4">
        <v>8</v>
      </c>
      <c r="H922" s="8">
        <v>2.71</v>
      </c>
      <c r="I922" s="4">
        <v>0</v>
      </c>
    </row>
    <row r="923" spans="1:9" x14ac:dyDescent="0.2">
      <c r="A923" s="2">
        <v>7</v>
      </c>
      <c r="B923" s="1" t="s">
        <v>106</v>
      </c>
      <c r="C923" s="4">
        <v>39</v>
      </c>
      <c r="D923" s="8">
        <v>4.42</v>
      </c>
      <c r="E923" s="4">
        <v>30</v>
      </c>
      <c r="F923" s="8">
        <v>5.2</v>
      </c>
      <c r="G923" s="4">
        <v>9</v>
      </c>
      <c r="H923" s="8">
        <v>3.05</v>
      </c>
      <c r="I923" s="4">
        <v>0</v>
      </c>
    </row>
    <row r="924" spans="1:9" x14ac:dyDescent="0.2">
      <c r="A924" s="2">
        <v>7</v>
      </c>
      <c r="B924" s="1" t="s">
        <v>109</v>
      </c>
      <c r="C924" s="4">
        <v>39</v>
      </c>
      <c r="D924" s="8">
        <v>4.42</v>
      </c>
      <c r="E924" s="4">
        <v>18</v>
      </c>
      <c r="F924" s="8">
        <v>3.12</v>
      </c>
      <c r="G924" s="4">
        <v>21</v>
      </c>
      <c r="H924" s="8">
        <v>7.12</v>
      </c>
      <c r="I924" s="4">
        <v>0</v>
      </c>
    </row>
    <row r="925" spans="1:9" x14ac:dyDescent="0.2">
      <c r="A925" s="2">
        <v>9</v>
      </c>
      <c r="B925" s="1" t="s">
        <v>115</v>
      </c>
      <c r="C925" s="4">
        <v>35</v>
      </c>
      <c r="D925" s="8">
        <v>3.96</v>
      </c>
      <c r="E925" s="4">
        <v>34</v>
      </c>
      <c r="F925" s="8">
        <v>5.89</v>
      </c>
      <c r="G925" s="4">
        <v>1</v>
      </c>
      <c r="H925" s="8">
        <v>0.34</v>
      </c>
      <c r="I925" s="4">
        <v>0</v>
      </c>
    </row>
    <row r="926" spans="1:9" x14ac:dyDescent="0.2">
      <c r="A926" s="2">
        <v>10</v>
      </c>
      <c r="B926" s="1" t="s">
        <v>100</v>
      </c>
      <c r="C926" s="4">
        <v>30</v>
      </c>
      <c r="D926" s="8">
        <v>3.4</v>
      </c>
      <c r="E926" s="4">
        <v>16</v>
      </c>
      <c r="F926" s="8">
        <v>2.77</v>
      </c>
      <c r="G926" s="4">
        <v>14</v>
      </c>
      <c r="H926" s="8">
        <v>4.75</v>
      </c>
      <c r="I926" s="4">
        <v>0</v>
      </c>
    </row>
    <row r="927" spans="1:9" x14ac:dyDescent="0.2">
      <c r="A927" s="2">
        <v>11</v>
      </c>
      <c r="B927" s="1" t="s">
        <v>114</v>
      </c>
      <c r="C927" s="4">
        <v>28</v>
      </c>
      <c r="D927" s="8">
        <v>3.17</v>
      </c>
      <c r="E927" s="4">
        <v>22</v>
      </c>
      <c r="F927" s="8">
        <v>3.81</v>
      </c>
      <c r="G927" s="4">
        <v>3</v>
      </c>
      <c r="H927" s="8">
        <v>1.02</v>
      </c>
      <c r="I927" s="4">
        <v>0</v>
      </c>
    </row>
    <row r="928" spans="1:9" x14ac:dyDescent="0.2">
      <c r="A928" s="2">
        <v>12</v>
      </c>
      <c r="B928" s="1" t="s">
        <v>104</v>
      </c>
      <c r="C928" s="4">
        <v>19</v>
      </c>
      <c r="D928" s="8">
        <v>2.15</v>
      </c>
      <c r="E928" s="4">
        <v>12</v>
      </c>
      <c r="F928" s="8">
        <v>2.08</v>
      </c>
      <c r="G928" s="4">
        <v>7</v>
      </c>
      <c r="H928" s="8">
        <v>2.37</v>
      </c>
      <c r="I928" s="4">
        <v>0</v>
      </c>
    </row>
    <row r="929" spans="1:9" x14ac:dyDescent="0.2">
      <c r="A929" s="2">
        <v>13</v>
      </c>
      <c r="B929" s="1" t="s">
        <v>116</v>
      </c>
      <c r="C929" s="4">
        <v>18</v>
      </c>
      <c r="D929" s="8">
        <v>2.04</v>
      </c>
      <c r="E929" s="4">
        <v>0</v>
      </c>
      <c r="F929" s="8">
        <v>0</v>
      </c>
      <c r="G929" s="4">
        <v>18</v>
      </c>
      <c r="H929" s="8">
        <v>6.1</v>
      </c>
      <c r="I929" s="4">
        <v>0</v>
      </c>
    </row>
    <row r="930" spans="1:9" x14ac:dyDescent="0.2">
      <c r="A930" s="2">
        <v>13</v>
      </c>
      <c r="B930" s="1" t="s">
        <v>123</v>
      </c>
      <c r="C930" s="4">
        <v>18</v>
      </c>
      <c r="D930" s="8">
        <v>2.04</v>
      </c>
      <c r="E930" s="4">
        <v>16</v>
      </c>
      <c r="F930" s="8">
        <v>2.77</v>
      </c>
      <c r="G930" s="4">
        <v>2</v>
      </c>
      <c r="H930" s="8">
        <v>0.68</v>
      </c>
      <c r="I930" s="4">
        <v>0</v>
      </c>
    </row>
    <row r="931" spans="1:9" x14ac:dyDescent="0.2">
      <c r="A931" s="2">
        <v>15</v>
      </c>
      <c r="B931" s="1" t="s">
        <v>101</v>
      </c>
      <c r="C931" s="4">
        <v>16</v>
      </c>
      <c r="D931" s="8">
        <v>1.81</v>
      </c>
      <c r="E931" s="4">
        <v>5</v>
      </c>
      <c r="F931" s="8">
        <v>0.87</v>
      </c>
      <c r="G931" s="4">
        <v>11</v>
      </c>
      <c r="H931" s="8">
        <v>3.73</v>
      </c>
      <c r="I931" s="4">
        <v>0</v>
      </c>
    </row>
    <row r="932" spans="1:9" x14ac:dyDescent="0.2">
      <c r="A932" s="2">
        <v>16</v>
      </c>
      <c r="B932" s="1" t="s">
        <v>130</v>
      </c>
      <c r="C932" s="4">
        <v>14</v>
      </c>
      <c r="D932" s="8">
        <v>1.59</v>
      </c>
      <c r="E932" s="4">
        <v>5</v>
      </c>
      <c r="F932" s="8">
        <v>0.87</v>
      </c>
      <c r="G932" s="4">
        <v>9</v>
      </c>
      <c r="H932" s="8">
        <v>3.05</v>
      </c>
      <c r="I932" s="4">
        <v>0</v>
      </c>
    </row>
    <row r="933" spans="1:9" x14ac:dyDescent="0.2">
      <c r="A933" s="2">
        <v>17</v>
      </c>
      <c r="B933" s="1" t="s">
        <v>111</v>
      </c>
      <c r="C933" s="4">
        <v>13</v>
      </c>
      <c r="D933" s="8">
        <v>1.47</v>
      </c>
      <c r="E933" s="4">
        <v>7</v>
      </c>
      <c r="F933" s="8">
        <v>1.21</v>
      </c>
      <c r="G933" s="4">
        <v>4</v>
      </c>
      <c r="H933" s="8">
        <v>1.36</v>
      </c>
      <c r="I933" s="4">
        <v>0</v>
      </c>
    </row>
    <row r="934" spans="1:9" x14ac:dyDescent="0.2">
      <c r="A934" s="2">
        <v>18</v>
      </c>
      <c r="B934" s="1" t="s">
        <v>110</v>
      </c>
      <c r="C934" s="4">
        <v>12</v>
      </c>
      <c r="D934" s="8">
        <v>1.36</v>
      </c>
      <c r="E934" s="4">
        <v>8</v>
      </c>
      <c r="F934" s="8">
        <v>1.39</v>
      </c>
      <c r="G934" s="4">
        <v>4</v>
      </c>
      <c r="H934" s="8">
        <v>1.36</v>
      </c>
      <c r="I934" s="4">
        <v>0</v>
      </c>
    </row>
    <row r="935" spans="1:9" x14ac:dyDescent="0.2">
      <c r="A935" s="2">
        <v>19</v>
      </c>
      <c r="B935" s="1" t="s">
        <v>132</v>
      </c>
      <c r="C935" s="4">
        <v>10</v>
      </c>
      <c r="D935" s="8">
        <v>1.1299999999999999</v>
      </c>
      <c r="E935" s="4">
        <v>7</v>
      </c>
      <c r="F935" s="8">
        <v>1.21</v>
      </c>
      <c r="G935" s="4">
        <v>3</v>
      </c>
      <c r="H935" s="8">
        <v>1.02</v>
      </c>
      <c r="I935" s="4">
        <v>0</v>
      </c>
    </row>
    <row r="936" spans="1:9" x14ac:dyDescent="0.2">
      <c r="A936" s="2">
        <v>19</v>
      </c>
      <c r="B936" s="1" t="s">
        <v>126</v>
      </c>
      <c r="C936" s="4">
        <v>10</v>
      </c>
      <c r="D936" s="8">
        <v>1.1299999999999999</v>
      </c>
      <c r="E936" s="4">
        <v>3</v>
      </c>
      <c r="F936" s="8">
        <v>0.52</v>
      </c>
      <c r="G936" s="4">
        <v>7</v>
      </c>
      <c r="H936" s="8">
        <v>2.37</v>
      </c>
      <c r="I936" s="4">
        <v>0</v>
      </c>
    </row>
    <row r="937" spans="1:9" x14ac:dyDescent="0.2">
      <c r="A937" s="1"/>
      <c r="C937" s="4"/>
      <c r="D937" s="8"/>
      <c r="E937" s="4"/>
      <c r="F937" s="8"/>
      <c r="G937" s="4"/>
      <c r="H937" s="8"/>
      <c r="I937" s="4"/>
    </row>
    <row r="938" spans="1:9" x14ac:dyDescent="0.2">
      <c r="A938" s="1" t="s">
        <v>42</v>
      </c>
      <c r="C938" s="4"/>
      <c r="D938" s="8"/>
      <c r="E938" s="4"/>
      <c r="F938" s="8"/>
      <c r="G938" s="4"/>
      <c r="H938" s="8"/>
      <c r="I938" s="4"/>
    </row>
    <row r="939" spans="1:9" x14ac:dyDescent="0.2">
      <c r="A939" s="2">
        <v>1</v>
      </c>
      <c r="B939" s="1" t="s">
        <v>112</v>
      </c>
      <c r="C939" s="4">
        <v>186</v>
      </c>
      <c r="D939" s="8">
        <v>10.62</v>
      </c>
      <c r="E939" s="4">
        <v>160</v>
      </c>
      <c r="F939" s="8">
        <v>15.63</v>
      </c>
      <c r="G939" s="4">
        <v>26</v>
      </c>
      <c r="H939" s="8">
        <v>3.69</v>
      </c>
      <c r="I939" s="4">
        <v>0</v>
      </c>
    </row>
    <row r="940" spans="1:9" x14ac:dyDescent="0.2">
      <c r="A940" s="2">
        <v>2</v>
      </c>
      <c r="B940" s="1" t="s">
        <v>113</v>
      </c>
      <c r="C940" s="4">
        <v>167</v>
      </c>
      <c r="D940" s="8">
        <v>9.5299999999999994</v>
      </c>
      <c r="E940" s="4">
        <v>140</v>
      </c>
      <c r="F940" s="8">
        <v>13.67</v>
      </c>
      <c r="G940" s="4">
        <v>27</v>
      </c>
      <c r="H940" s="8">
        <v>3.84</v>
      </c>
      <c r="I940" s="4">
        <v>0</v>
      </c>
    </row>
    <row r="941" spans="1:9" x14ac:dyDescent="0.2">
      <c r="A941" s="2">
        <v>3</v>
      </c>
      <c r="B941" s="1" t="s">
        <v>98</v>
      </c>
      <c r="C941" s="4">
        <v>144</v>
      </c>
      <c r="D941" s="8">
        <v>8.2200000000000006</v>
      </c>
      <c r="E941" s="4">
        <v>61</v>
      </c>
      <c r="F941" s="8">
        <v>5.96</v>
      </c>
      <c r="G941" s="4">
        <v>83</v>
      </c>
      <c r="H941" s="8">
        <v>11.79</v>
      </c>
      <c r="I941" s="4">
        <v>0</v>
      </c>
    </row>
    <row r="942" spans="1:9" x14ac:dyDescent="0.2">
      <c r="A942" s="2">
        <v>4</v>
      </c>
      <c r="B942" s="1" t="s">
        <v>107</v>
      </c>
      <c r="C942" s="4">
        <v>133</v>
      </c>
      <c r="D942" s="8">
        <v>7.59</v>
      </c>
      <c r="E942" s="4">
        <v>82</v>
      </c>
      <c r="F942" s="8">
        <v>8.01</v>
      </c>
      <c r="G942" s="4">
        <v>51</v>
      </c>
      <c r="H942" s="8">
        <v>7.24</v>
      </c>
      <c r="I942" s="4">
        <v>0</v>
      </c>
    </row>
    <row r="943" spans="1:9" x14ac:dyDescent="0.2">
      <c r="A943" s="2">
        <v>5</v>
      </c>
      <c r="B943" s="1" t="s">
        <v>105</v>
      </c>
      <c r="C943" s="4">
        <v>122</v>
      </c>
      <c r="D943" s="8">
        <v>6.96</v>
      </c>
      <c r="E943" s="4">
        <v>99</v>
      </c>
      <c r="F943" s="8">
        <v>9.67</v>
      </c>
      <c r="G943" s="4">
        <v>22</v>
      </c>
      <c r="H943" s="8">
        <v>3.13</v>
      </c>
      <c r="I943" s="4">
        <v>1</v>
      </c>
    </row>
    <row r="944" spans="1:9" x14ac:dyDescent="0.2">
      <c r="A944" s="2">
        <v>6</v>
      </c>
      <c r="B944" s="1" t="s">
        <v>99</v>
      </c>
      <c r="C944" s="4">
        <v>76</v>
      </c>
      <c r="D944" s="8">
        <v>4.34</v>
      </c>
      <c r="E944" s="4">
        <v>49</v>
      </c>
      <c r="F944" s="8">
        <v>4.79</v>
      </c>
      <c r="G944" s="4">
        <v>27</v>
      </c>
      <c r="H944" s="8">
        <v>3.84</v>
      </c>
      <c r="I944" s="4">
        <v>0</v>
      </c>
    </row>
    <row r="945" spans="1:9" x14ac:dyDescent="0.2">
      <c r="A945" s="2">
        <v>6</v>
      </c>
      <c r="B945" s="1" t="s">
        <v>100</v>
      </c>
      <c r="C945" s="4">
        <v>76</v>
      </c>
      <c r="D945" s="8">
        <v>4.34</v>
      </c>
      <c r="E945" s="4">
        <v>32</v>
      </c>
      <c r="F945" s="8">
        <v>3.13</v>
      </c>
      <c r="G945" s="4">
        <v>44</v>
      </c>
      <c r="H945" s="8">
        <v>6.25</v>
      </c>
      <c r="I945" s="4">
        <v>0</v>
      </c>
    </row>
    <row r="946" spans="1:9" x14ac:dyDescent="0.2">
      <c r="A946" s="2">
        <v>8</v>
      </c>
      <c r="B946" s="1" t="s">
        <v>109</v>
      </c>
      <c r="C946" s="4">
        <v>71</v>
      </c>
      <c r="D946" s="8">
        <v>4.05</v>
      </c>
      <c r="E946" s="4">
        <v>18</v>
      </c>
      <c r="F946" s="8">
        <v>1.76</v>
      </c>
      <c r="G946" s="4">
        <v>53</v>
      </c>
      <c r="H946" s="8">
        <v>7.53</v>
      </c>
      <c r="I946" s="4">
        <v>0</v>
      </c>
    </row>
    <row r="947" spans="1:9" x14ac:dyDescent="0.2">
      <c r="A947" s="2">
        <v>9</v>
      </c>
      <c r="B947" s="1" t="s">
        <v>106</v>
      </c>
      <c r="C947" s="4">
        <v>70</v>
      </c>
      <c r="D947" s="8">
        <v>4</v>
      </c>
      <c r="E947" s="4">
        <v>43</v>
      </c>
      <c r="F947" s="8">
        <v>4.2</v>
      </c>
      <c r="G947" s="4">
        <v>27</v>
      </c>
      <c r="H947" s="8">
        <v>3.84</v>
      </c>
      <c r="I947" s="4">
        <v>0</v>
      </c>
    </row>
    <row r="948" spans="1:9" x14ac:dyDescent="0.2">
      <c r="A948" s="2">
        <v>10</v>
      </c>
      <c r="B948" s="1" t="s">
        <v>114</v>
      </c>
      <c r="C948" s="4">
        <v>64</v>
      </c>
      <c r="D948" s="8">
        <v>3.65</v>
      </c>
      <c r="E948" s="4">
        <v>45</v>
      </c>
      <c r="F948" s="8">
        <v>4.3899999999999997</v>
      </c>
      <c r="G948" s="4">
        <v>18</v>
      </c>
      <c r="H948" s="8">
        <v>2.56</v>
      </c>
      <c r="I948" s="4">
        <v>0</v>
      </c>
    </row>
    <row r="949" spans="1:9" x14ac:dyDescent="0.2">
      <c r="A949" s="2">
        <v>11</v>
      </c>
      <c r="B949" s="1" t="s">
        <v>115</v>
      </c>
      <c r="C949" s="4">
        <v>62</v>
      </c>
      <c r="D949" s="8">
        <v>3.54</v>
      </c>
      <c r="E949" s="4">
        <v>58</v>
      </c>
      <c r="F949" s="8">
        <v>5.66</v>
      </c>
      <c r="G949" s="4">
        <v>4</v>
      </c>
      <c r="H949" s="8">
        <v>0.56999999999999995</v>
      </c>
      <c r="I949" s="4">
        <v>0</v>
      </c>
    </row>
    <row r="950" spans="1:9" x14ac:dyDescent="0.2">
      <c r="A950" s="2">
        <v>12</v>
      </c>
      <c r="B950" s="1" t="s">
        <v>111</v>
      </c>
      <c r="C950" s="4">
        <v>40</v>
      </c>
      <c r="D950" s="8">
        <v>2.2799999999999998</v>
      </c>
      <c r="E950" s="4">
        <v>17</v>
      </c>
      <c r="F950" s="8">
        <v>1.66</v>
      </c>
      <c r="G950" s="4">
        <v>23</v>
      </c>
      <c r="H950" s="8">
        <v>3.27</v>
      </c>
      <c r="I950" s="4">
        <v>0</v>
      </c>
    </row>
    <row r="951" spans="1:9" x14ac:dyDescent="0.2">
      <c r="A951" s="2">
        <v>13</v>
      </c>
      <c r="B951" s="1" t="s">
        <v>110</v>
      </c>
      <c r="C951" s="4">
        <v>39</v>
      </c>
      <c r="D951" s="8">
        <v>2.23</v>
      </c>
      <c r="E951" s="4">
        <v>21</v>
      </c>
      <c r="F951" s="8">
        <v>2.0499999999999998</v>
      </c>
      <c r="G951" s="4">
        <v>18</v>
      </c>
      <c r="H951" s="8">
        <v>2.56</v>
      </c>
      <c r="I951" s="4">
        <v>0</v>
      </c>
    </row>
    <row r="952" spans="1:9" x14ac:dyDescent="0.2">
      <c r="A952" s="2">
        <v>14</v>
      </c>
      <c r="B952" s="1" t="s">
        <v>104</v>
      </c>
      <c r="C952" s="4">
        <v>36</v>
      </c>
      <c r="D952" s="8">
        <v>2.0499999999999998</v>
      </c>
      <c r="E952" s="4">
        <v>14</v>
      </c>
      <c r="F952" s="8">
        <v>1.37</v>
      </c>
      <c r="G952" s="4">
        <v>22</v>
      </c>
      <c r="H952" s="8">
        <v>3.13</v>
      </c>
      <c r="I952" s="4">
        <v>0</v>
      </c>
    </row>
    <row r="953" spans="1:9" x14ac:dyDescent="0.2">
      <c r="A953" s="2">
        <v>15</v>
      </c>
      <c r="B953" s="1" t="s">
        <v>116</v>
      </c>
      <c r="C953" s="4">
        <v>30</v>
      </c>
      <c r="D953" s="8">
        <v>1.71</v>
      </c>
      <c r="E953" s="4">
        <v>1</v>
      </c>
      <c r="F953" s="8">
        <v>0.1</v>
      </c>
      <c r="G953" s="4">
        <v>26</v>
      </c>
      <c r="H953" s="8">
        <v>3.69</v>
      </c>
      <c r="I953" s="4">
        <v>0</v>
      </c>
    </row>
    <row r="954" spans="1:9" x14ac:dyDescent="0.2">
      <c r="A954" s="2">
        <v>16</v>
      </c>
      <c r="B954" s="1" t="s">
        <v>130</v>
      </c>
      <c r="C954" s="4">
        <v>28</v>
      </c>
      <c r="D954" s="8">
        <v>1.6</v>
      </c>
      <c r="E954" s="4">
        <v>13</v>
      </c>
      <c r="F954" s="8">
        <v>1.27</v>
      </c>
      <c r="G954" s="4">
        <v>14</v>
      </c>
      <c r="H954" s="8">
        <v>1.99</v>
      </c>
      <c r="I954" s="4">
        <v>1</v>
      </c>
    </row>
    <row r="955" spans="1:9" x14ac:dyDescent="0.2">
      <c r="A955" s="2">
        <v>17</v>
      </c>
      <c r="B955" s="1" t="s">
        <v>138</v>
      </c>
      <c r="C955" s="4">
        <v>27</v>
      </c>
      <c r="D955" s="8">
        <v>1.54</v>
      </c>
      <c r="E955" s="4">
        <v>26</v>
      </c>
      <c r="F955" s="8">
        <v>2.54</v>
      </c>
      <c r="G955" s="4">
        <v>1</v>
      </c>
      <c r="H955" s="8">
        <v>0.14000000000000001</v>
      </c>
      <c r="I955" s="4">
        <v>0</v>
      </c>
    </row>
    <row r="956" spans="1:9" x14ac:dyDescent="0.2">
      <c r="A956" s="2">
        <v>17</v>
      </c>
      <c r="B956" s="1" t="s">
        <v>118</v>
      </c>
      <c r="C956" s="4">
        <v>27</v>
      </c>
      <c r="D956" s="8">
        <v>1.54</v>
      </c>
      <c r="E956" s="4">
        <v>13</v>
      </c>
      <c r="F956" s="8">
        <v>1.27</v>
      </c>
      <c r="G956" s="4">
        <v>14</v>
      </c>
      <c r="H956" s="8">
        <v>1.99</v>
      </c>
      <c r="I956" s="4">
        <v>0</v>
      </c>
    </row>
    <row r="957" spans="1:9" x14ac:dyDescent="0.2">
      <c r="A957" s="2">
        <v>19</v>
      </c>
      <c r="B957" s="1" t="s">
        <v>102</v>
      </c>
      <c r="C957" s="4">
        <v>25</v>
      </c>
      <c r="D957" s="8">
        <v>1.43</v>
      </c>
      <c r="E957" s="4">
        <v>4</v>
      </c>
      <c r="F957" s="8">
        <v>0.39</v>
      </c>
      <c r="G957" s="4">
        <v>21</v>
      </c>
      <c r="H957" s="8">
        <v>2.98</v>
      </c>
      <c r="I957" s="4">
        <v>0</v>
      </c>
    </row>
    <row r="958" spans="1:9" x14ac:dyDescent="0.2">
      <c r="A958" s="2">
        <v>19</v>
      </c>
      <c r="B958" s="1" t="s">
        <v>123</v>
      </c>
      <c r="C958" s="4">
        <v>25</v>
      </c>
      <c r="D958" s="8">
        <v>1.43</v>
      </c>
      <c r="E958" s="4">
        <v>21</v>
      </c>
      <c r="F958" s="8">
        <v>2.0499999999999998</v>
      </c>
      <c r="G958" s="4">
        <v>4</v>
      </c>
      <c r="H958" s="8">
        <v>0.56999999999999995</v>
      </c>
      <c r="I958" s="4">
        <v>0</v>
      </c>
    </row>
    <row r="959" spans="1:9" x14ac:dyDescent="0.2">
      <c r="A959" s="1"/>
      <c r="C959" s="4"/>
      <c r="D959" s="8"/>
      <c r="E959" s="4"/>
      <c r="F959" s="8"/>
      <c r="G959" s="4"/>
      <c r="H959" s="8"/>
      <c r="I959" s="4"/>
    </row>
    <row r="960" spans="1:9" x14ac:dyDescent="0.2">
      <c r="A960" s="1" t="s">
        <v>43</v>
      </c>
      <c r="C960" s="4"/>
      <c r="D960" s="8"/>
      <c r="E960" s="4"/>
      <c r="F960" s="8"/>
      <c r="G960" s="4"/>
      <c r="H960" s="8"/>
      <c r="I960" s="4"/>
    </row>
    <row r="961" spans="1:9" x14ac:dyDescent="0.2">
      <c r="A961" s="2">
        <v>1</v>
      </c>
      <c r="B961" s="1" t="s">
        <v>99</v>
      </c>
      <c r="C961" s="4">
        <v>125</v>
      </c>
      <c r="D961" s="8">
        <v>11.64</v>
      </c>
      <c r="E961" s="4">
        <v>49</v>
      </c>
      <c r="F961" s="8">
        <v>9.9</v>
      </c>
      <c r="G961" s="4">
        <v>76</v>
      </c>
      <c r="H961" s="8">
        <v>13.29</v>
      </c>
      <c r="I961" s="4">
        <v>0</v>
      </c>
    </row>
    <row r="962" spans="1:9" x14ac:dyDescent="0.2">
      <c r="A962" s="2">
        <v>2</v>
      </c>
      <c r="B962" s="1" t="s">
        <v>113</v>
      </c>
      <c r="C962" s="4">
        <v>96</v>
      </c>
      <c r="D962" s="8">
        <v>8.94</v>
      </c>
      <c r="E962" s="4">
        <v>72</v>
      </c>
      <c r="F962" s="8">
        <v>14.55</v>
      </c>
      <c r="G962" s="4">
        <v>24</v>
      </c>
      <c r="H962" s="8">
        <v>4.2</v>
      </c>
      <c r="I962" s="4">
        <v>0</v>
      </c>
    </row>
    <row r="963" spans="1:9" x14ac:dyDescent="0.2">
      <c r="A963" s="2">
        <v>3</v>
      </c>
      <c r="B963" s="1" t="s">
        <v>98</v>
      </c>
      <c r="C963" s="4">
        <v>93</v>
      </c>
      <c r="D963" s="8">
        <v>8.66</v>
      </c>
      <c r="E963" s="4">
        <v>23</v>
      </c>
      <c r="F963" s="8">
        <v>4.6500000000000004</v>
      </c>
      <c r="G963" s="4">
        <v>70</v>
      </c>
      <c r="H963" s="8">
        <v>12.24</v>
      </c>
      <c r="I963" s="4">
        <v>0</v>
      </c>
    </row>
    <row r="964" spans="1:9" x14ac:dyDescent="0.2">
      <c r="A964" s="2">
        <v>4</v>
      </c>
      <c r="B964" s="1" t="s">
        <v>112</v>
      </c>
      <c r="C964" s="4">
        <v>79</v>
      </c>
      <c r="D964" s="8">
        <v>7.36</v>
      </c>
      <c r="E964" s="4">
        <v>72</v>
      </c>
      <c r="F964" s="8">
        <v>14.55</v>
      </c>
      <c r="G964" s="4">
        <v>7</v>
      </c>
      <c r="H964" s="8">
        <v>1.22</v>
      </c>
      <c r="I964" s="4">
        <v>0</v>
      </c>
    </row>
    <row r="965" spans="1:9" x14ac:dyDescent="0.2">
      <c r="A965" s="2">
        <v>5</v>
      </c>
      <c r="B965" s="1" t="s">
        <v>106</v>
      </c>
      <c r="C965" s="4">
        <v>57</v>
      </c>
      <c r="D965" s="8">
        <v>5.31</v>
      </c>
      <c r="E965" s="4">
        <v>38</v>
      </c>
      <c r="F965" s="8">
        <v>7.68</v>
      </c>
      <c r="G965" s="4">
        <v>19</v>
      </c>
      <c r="H965" s="8">
        <v>3.32</v>
      </c>
      <c r="I965" s="4">
        <v>0</v>
      </c>
    </row>
    <row r="966" spans="1:9" x14ac:dyDescent="0.2">
      <c r="A966" s="2">
        <v>6</v>
      </c>
      <c r="B966" s="1" t="s">
        <v>100</v>
      </c>
      <c r="C966" s="4">
        <v>56</v>
      </c>
      <c r="D966" s="8">
        <v>5.21</v>
      </c>
      <c r="E966" s="4">
        <v>11</v>
      </c>
      <c r="F966" s="8">
        <v>2.2200000000000002</v>
      </c>
      <c r="G966" s="4">
        <v>45</v>
      </c>
      <c r="H966" s="8">
        <v>7.87</v>
      </c>
      <c r="I966" s="4">
        <v>0</v>
      </c>
    </row>
    <row r="967" spans="1:9" x14ac:dyDescent="0.2">
      <c r="A967" s="2">
        <v>7</v>
      </c>
      <c r="B967" s="1" t="s">
        <v>107</v>
      </c>
      <c r="C967" s="4">
        <v>47</v>
      </c>
      <c r="D967" s="8">
        <v>4.38</v>
      </c>
      <c r="E967" s="4">
        <v>21</v>
      </c>
      <c r="F967" s="8">
        <v>4.24</v>
      </c>
      <c r="G967" s="4">
        <v>26</v>
      </c>
      <c r="H967" s="8">
        <v>4.55</v>
      </c>
      <c r="I967" s="4">
        <v>0</v>
      </c>
    </row>
    <row r="968" spans="1:9" x14ac:dyDescent="0.2">
      <c r="A968" s="2">
        <v>8</v>
      </c>
      <c r="B968" s="1" t="s">
        <v>109</v>
      </c>
      <c r="C968" s="4">
        <v>40</v>
      </c>
      <c r="D968" s="8">
        <v>3.72</v>
      </c>
      <c r="E968" s="4">
        <v>1</v>
      </c>
      <c r="F968" s="8">
        <v>0.2</v>
      </c>
      <c r="G968" s="4">
        <v>39</v>
      </c>
      <c r="H968" s="8">
        <v>6.82</v>
      </c>
      <c r="I968" s="4">
        <v>0</v>
      </c>
    </row>
    <row r="969" spans="1:9" x14ac:dyDescent="0.2">
      <c r="A969" s="2">
        <v>9</v>
      </c>
      <c r="B969" s="1" t="s">
        <v>105</v>
      </c>
      <c r="C969" s="4">
        <v>38</v>
      </c>
      <c r="D969" s="8">
        <v>3.54</v>
      </c>
      <c r="E969" s="4">
        <v>27</v>
      </c>
      <c r="F969" s="8">
        <v>5.45</v>
      </c>
      <c r="G969" s="4">
        <v>11</v>
      </c>
      <c r="H969" s="8">
        <v>1.92</v>
      </c>
      <c r="I969" s="4">
        <v>0</v>
      </c>
    </row>
    <row r="970" spans="1:9" x14ac:dyDescent="0.2">
      <c r="A970" s="2">
        <v>10</v>
      </c>
      <c r="B970" s="1" t="s">
        <v>114</v>
      </c>
      <c r="C970" s="4">
        <v>34</v>
      </c>
      <c r="D970" s="8">
        <v>3.17</v>
      </c>
      <c r="E970" s="4">
        <v>27</v>
      </c>
      <c r="F970" s="8">
        <v>5.45</v>
      </c>
      <c r="G970" s="4">
        <v>6</v>
      </c>
      <c r="H970" s="8">
        <v>1.05</v>
      </c>
      <c r="I970" s="4">
        <v>0</v>
      </c>
    </row>
    <row r="971" spans="1:9" x14ac:dyDescent="0.2">
      <c r="A971" s="2">
        <v>11</v>
      </c>
      <c r="B971" s="1" t="s">
        <v>123</v>
      </c>
      <c r="C971" s="4">
        <v>31</v>
      </c>
      <c r="D971" s="8">
        <v>2.89</v>
      </c>
      <c r="E971" s="4">
        <v>25</v>
      </c>
      <c r="F971" s="8">
        <v>5.05</v>
      </c>
      <c r="G971" s="4">
        <v>6</v>
      </c>
      <c r="H971" s="8">
        <v>1.05</v>
      </c>
      <c r="I971" s="4">
        <v>0</v>
      </c>
    </row>
    <row r="972" spans="1:9" x14ac:dyDescent="0.2">
      <c r="A972" s="2">
        <v>12</v>
      </c>
      <c r="B972" s="1" t="s">
        <v>110</v>
      </c>
      <c r="C972" s="4">
        <v>28</v>
      </c>
      <c r="D972" s="8">
        <v>2.61</v>
      </c>
      <c r="E972" s="4">
        <v>18</v>
      </c>
      <c r="F972" s="8">
        <v>3.64</v>
      </c>
      <c r="G972" s="4">
        <v>10</v>
      </c>
      <c r="H972" s="8">
        <v>1.75</v>
      </c>
      <c r="I972" s="4">
        <v>0</v>
      </c>
    </row>
    <row r="973" spans="1:9" x14ac:dyDescent="0.2">
      <c r="A973" s="2">
        <v>13</v>
      </c>
      <c r="B973" s="1" t="s">
        <v>132</v>
      </c>
      <c r="C973" s="4">
        <v>25</v>
      </c>
      <c r="D973" s="8">
        <v>2.33</v>
      </c>
      <c r="E973" s="4">
        <v>7</v>
      </c>
      <c r="F973" s="8">
        <v>1.41</v>
      </c>
      <c r="G973" s="4">
        <v>18</v>
      </c>
      <c r="H973" s="8">
        <v>3.15</v>
      </c>
      <c r="I973" s="4">
        <v>0</v>
      </c>
    </row>
    <row r="974" spans="1:9" x14ac:dyDescent="0.2">
      <c r="A974" s="2">
        <v>14</v>
      </c>
      <c r="B974" s="1" t="s">
        <v>111</v>
      </c>
      <c r="C974" s="4">
        <v>24</v>
      </c>
      <c r="D974" s="8">
        <v>2.23</v>
      </c>
      <c r="E974" s="4">
        <v>8</v>
      </c>
      <c r="F974" s="8">
        <v>1.62</v>
      </c>
      <c r="G974" s="4">
        <v>16</v>
      </c>
      <c r="H974" s="8">
        <v>2.8</v>
      </c>
      <c r="I974" s="4">
        <v>0</v>
      </c>
    </row>
    <row r="975" spans="1:9" x14ac:dyDescent="0.2">
      <c r="A975" s="2">
        <v>15</v>
      </c>
      <c r="B975" s="1" t="s">
        <v>131</v>
      </c>
      <c r="C975" s="4">
        <v>21</v>
      </c>
      <c r="D975" s="8">
        <v>1.96</v>
      </c>
      <c r="E975" s="4">
        <v>8</v>
      </c>
      <c r="F975" s="8">
        <v>1.62</v>
      </c>
      <c r="G975" s="4">
        <v>13</v>
      </c>
      <c r="H975" s="8">
        <v>2.27</v>
      </c>
      <c r="I975" s="4">
        <v>0</v>
      </c>
    </row>
    <row r="976" spans="1:9" x14ac:dyDescent="0.2">
      <c r="A976" s="2">
        <v>15</v>
      </c>
      <c r="B976" s="1" t="s">
        <v>102</v>
      </c>
      <c r="C976" s="4">
        <v>21</v>
      </c>
      <c r="D976" s="8">
        <v>1.96</v>
      </c>
      <c r="E976" s="4">
        <v>4</v>
      </c>
      <c r="F976" s="8">
        <v>0.81</v>
      </c>
      <c r="G976" s="4">
        <v>17</v>
      </c>
      <c r="H976" s="8">
        <v>2.97</v>
      </c>
      <c r="I976" s="4">
        <v>0</v>
      </c>
    </row>
    <row r="977" spans="1:9" x14ac:dyDescent="0.2">
      <c r="A977" s="2">
        <v>15</v>
      </c>
      <c r="B977" s="1" t="s">
        <v>115</v>
      </c>
      <c r="C977" s="4">
        <v>21</v>
      </c>
      <c r="D977" s="8">
        <v>1.96</v>
      </c>
      <c r="E977" s="4">
        <v>21</v>
      </c>
      <c r="F977" s="8">
        <v>4.24</v>
      </c>
      <c r="G977" s="4">
        <v>0</v>
      </c>
      <c r="H977" s="8">
        <v>0</v>
      </c>
      <c r="I977" s="4">
        <v>0</v>
      </c>
    </row>
    <row r="978" spans="1:9" x14ac:dyDescent="0.2">
      <c r="A978" s="2">
        <v>18</v>
      </c>
      <c r="B978" s="1" t="s">
        <v>117</v>
      </c>
      <c r="C978" s="4">
        <v>18</v>
      </c>
      <c r="D978" s="8">
        <v>1.68</v>
      </c>
      <c r="E978" s="4">
        <v>3</v>
      </c>
      <c r="F978" s="8">
        <v>0.61</v>
      </c>
      <c r="G978" s="4">
        <v>15</v>
      </c>
      <c r="H978" s="8">
        <v>2.62</v>
      </c>
      <c r="I978" s="4">
        <v>0</v>
      </c>
    </row>
    <row r="979" spans="1:9" x14ac:dyDescent="0.2">
      <c r="A979" s="2">
        <v>19</v>
      </c>
      <c r="B979" s="1" t="s">
        <v>103</v>
      </c>
      <c r="C979" s="4">
        <v>16</v>
      </c>
      <c r="D979" s="8">
        <v>1.49</v>
      </c>
      <c r="E979" s="4">
        <v>2</v>
      </c>
      <c r="F979" s="8">
        <v>0.4</v>
      </c>
      <c r="G979" s="4">
        <v>14</v>
      </c>
      <c r="H979" s="8">
        <v>2.4500000000000002</v>
      </c>
      <c r="I979" s="4">
        <v>0</v>
      </c>
    </row>
    <row r="980" spans="1:9" x14ac:dyDescent="0.2">
      <c r="A980" s="2">
        <v>20</v>
      </c>
      <c r="B980" s="1" t="s">
        <v>116</v>
      </c>
      <c r="C980" s="4">
        <v>15</v>
      </c>
      <c r="D980" s="8">
        <v>1.4</v>
      </c>
      <c r="E980" s="4">
        <v>0</v>
      </c>
      <c r="F980" s="8">
        <v>0</v>
      </c>
      <c r="G980" s="4">
        <v>12</v>
      </c>
      <c r="H980" s="8">
        <v>2.1</v>
      </c>
      <c r="I980" s="4">
        <v>0</v>
      </c>
    </row>
    <row r="981" spans="1:9" x14ac:dyDescent="0.2">
      <c r="A981" s="1"/>
      <c r="C981" s="4"/>
      <c r="D981" s="8"/>
      <c r="E981" s="4"/>
      <c r="F981" s="8"/>
      <c r="G981" s="4"/>
      <c r="H981" s="8"/>
      <c r="I981" s="4"/>
    </row>
    <row r="982" spans="1:9" x14ac:dyDescent="0.2">
      <c r="A982" s="1" t="s">
        <v>44</v>
      </c>
      <c r="C982" s="4"/>
      <c r="D982" s="8"/>
      <c r="E982" s="4"/>
      <c r="F982" s="8"/>
      <c r="G982" s="4"/>
      <c r="H982" s="8"/>
      <c r="I982" s="4"/>
    </row>
    <row r="983" spans="1:9" x14ac:dyDescent="0.2">
      <c r="A983" s="2">
        <v>1</v>
      </c>
      <c r="B983" s="1" t="s">
        <v>98</v>
      </c>
      <c r="C983" s="4">
        <v>70</v>
      </c>
      <c r="D983" s="8">
        <v>8.99</v>
      </c>
      <c r="E983" s="4">
        <v>23</v>
      </c>
      <c r="F983" s="8">
        <v>6.22</v>
      </c>
      <c r="G983" s="4">
        <v>47</v>
      </c>
      <c r="H983" s="8">
        <v>11.72</v>
      </c>
      <c r="I983" s="4">
        <v>0</v>
      </c>
    </row>
    <row r="984" spans="1:9" x14ac:dyDescent="0.2">
      <c r="A984" s="2">
        <v>2</v>
      </c>
      <c r="B984" s="1" t="s">
        <v>99</v>
      </c>
      <c r="C984" s="4">
        <v>63</v>
      </c>
      <c r="D984" s="8">
        <v>8.09</v>
      </c>
      <c r="E984" s="4">
        <v>33</v>
      </c>
      <c r="F984" s="8">
        <v>8.92</v>
      </c>
      <c r="G984" s="4">
        <v>30</v>
      </c>
      <c r="H984" s="8">
        <v>7.48</v>
      </c>
      <c r="I984" s="4">
        <v>0</v>
      </c>
    </row>
    <row r="985" spans="1:9" x14ac:dyDescent="0.2">
      <c r="A985" s="2">
        <v>3</v>
      </c>
      <c r="B985" s="1" t="s">
        <v>100</v>
      </c>
      <c r="C985" s="4">
        <v>56</v>
      </c>
      <c r="D985" s="8">
        <v>7.19</v>
      </c>
      <c r="E985" s="4">
        <v>20</v>
      </c>
      <c r="F985" s="8">
        <v>5.41</v>
      </c>
      <c r="G985" s="4">
        <v>36</v>
      </c>
      <c r="H985" s="8">
        <v>8.98</v>
      </c>
      <c r="I985" s="4">
        <v>0</v>
      </c>
    </row>
    <row r="986" spans="1:9" x14ac:dyDescent="0.2">
      <c r="A986" s="2">
        <v>4</v>
      </c>
      <c r="B986" s="1" t="s">
        <v>113</v>
      </c>
      <c r="C986" s="4">
        <v>51</v>
      </c>
      <c r="D986" s="8">
        <v>6.55</v>
      </c>
      <c r="E986" s="4">
        <v>43</v>
      </c>
      <c r="F986" s="8">
        <v>11.62</v>
      </c>
      <c r="G986" s="4">
        <v>8</v>
      </c>
      <c r="H986" s="8">
        <v>2</v>
      </c>
      <c r="I986" s="4">
        <v>0</v>
      </c>
    </row>
    <row r="987" spans="1:9" x14ac:dyDescent="0.2">
      <c r="A987" s="2">
        <v>5</v>
      </c>
      <c r="B987" s="1" t="s">
        <v>112</v>
      </c>
      <c r="C987" s="4">
        <v>37</v>
      </c>
      <c r="D987" s="8">
        <v>4.75</v>
      </c>
      <c r="E987" s="4">
        <v>31</v>
      </c>
      <c r="F987" s="8">
        <v>8.3800000000000008</v>
      </c>
      <c r="G987" s="4">
        <v>6</v>
      </c>
      <c r="H987" s="8">
        <v>1.5</v>
      </c>
      <c r="I987" s="4">
        <v>0</v>
      </c>
    </row>
    <row r="988" spans="1:9" x14ac:dyDescent="0.2">
      <c r="A988" s="2">
        <v>6</v>
      </c>
      <c r="B988" s="1" t="s">
        <v>109</v>
      </c>
      <c r="C988" s="4">
        <v>34</v>
      </c>
      <c r="D988" s="8">
        <v>4.3600000000000003</v>
      </c>
      <c r="E988" s="4">
        <v>14</v>
      </c>
      <c r="F988" s="8">
        <v>3.78</v>
      </c>
      <c r="G988" s="4">
        <v>20</v>
      </c>
      <c r="H988" s="8">
        <v>4.99</v>
      </c>
      <c r="I988" s="4">
        <v>0</v>
      </c>
    </row>
    <row r="989" spans="1:9" x14ac:dyDescent="0.2">
      <c r="A989" s="2">
        <v>7</v>
      </c>
      <c r="B989" s="1" t="s">
        <v>119</v>
      </c>
      <c r="C989" s="4">
        <v>28</v>
      </c>
      <c r="D989" s="8">
        <v>3.59</v>
      </c>
      <c r="E989" s="4">
        <v>7</v>
      </c>
      <c r="F989" s="8">
        <v>1.89</v>
      </c>
      <c r="G989" s="4">
        <v>21</v>
      </c>
      <c r="H989" s="8">
        <v>5.24</v>
      </c>
      <c r="I989" s="4">
        <v>0</v>
      </c>
    </row>
    <row r="990" spans="1:9" x14ac:dyDescent="0.2">
      <c r="A990" s="2">
        <v>7</v>
      </c>
      <c r="B990" s="1" t="s">
        <v>111</v>
      </c>
      <c r="C990" s="4">
        <v>28</v>
      </c>
      <c r="D990" s="8">
        <v>3.59</v>
      </c>
      <c r="E990" s="4">
        <v>16</v>
      </c>
      <c r="F990" s="8">
        <v>4.32</v>
      </c>
      <c r="G990" s="4">
        <v>12</v>
      </c>
      <c r="H990" s="8">
        <v>2.99</v>
      </c>
      <c r="I990" s="4">
        <v>0</v>
      </c>
    </row>
    <row r="991" spans="1:9" x14ac:dyDescent="0.2">
      <c r="A991" s="2">
        <v>9</v>
      </c>
      <c r="B991" s="1" t="s">
        <v>107</v>
      </c>
      <c r="C991" s="4">
        <v>27</v>
      </c>
      <c r="D991" s="8">
        <v>3.47</v>
      </c>
      <c r="E991" s="4">
        <v>16</v>
      </c>
      <c r="F991" s="8">
        <v>4.32</v>
      </c>
      <c r="G991" s="4">
        <v>11</v>
      </c>
      <c r="H991" s="8">
        <v>2.74</v>
      </c>
      <c r="I991" s="4">
        <v>0</v>
      </c>
    </row>
    <row r="992" spans="1:9" x14ac:dyDescent="0.2">
      <c r="A992" s="2">
        <v>10</v>
      </c>
      <c r="B992" s="1" t="s">
        <v>106</v>
      </c>
      <c r="C992" s="4">
        <v>26</v>
      </c>
      <c r="D992" s="8">
        <v>3.34</v>
      </c>
      <c r="E992" s="4">
        <v>16</v>
      </c>
      <c r="F992" s="8">
        <v>4.32</v>
      </c>
      <c r="G992" s="4">
        <v>10</v>
      </c>
      <c r="H992" s="8">
        <v>2.4900000000000002</v>
      </c>
      <c r="I992" s="4">
        <v>0</v>
      </c>
    </row>
    <row r="993" spans="1:9" x14ac:dyDescent="0.2">
      <c r="A993" s="2">
        <v>10</v>
      </c>
      <c r="B993" s="1" t="s">
        <v>114</v>
      </c>
      <c r="C993" s="4">
        <v>26</v>
      </c>
      <c r="D993" s="8">
        <v>3.34</v>
      </c>
      <c r="E993" s="4">
        <v>22</v>
      </c>
      <c r="F993" s="8">
        <v>5.95</v>
      </c>
      <c r="G993" s="4">
        <v>3</v>
      </c>
      <c r="H993" s="8">
        <v>0.75</v>
      </c>
      <c r="I993" s="4">
        <v>0</v>
      </c>
    </row>
    <row r="994" spans="1:9" x14ac:dyDescent="0.2">
      <c r="A994" s="2">
        <v>12</v>
      </c>
      <c r="B994" s="1" t="s">
        <v>131</v>
      </c>
      <c r="C994" s="4">
        <v>21</v>
      </c>
      <c r="D994" s="8">
        <v>2.7</v>
      </c>
      <c r="E994" s="4">
        <v>13</v>
      </c>
      <c r="F994" s="8">
        <v>3.51</v>
      </c>
      <c r="G994" s="4">
        <v>8</v>
      </c>
      <c r="H994" s="8">
        <v>2</v>
      </c>
      <c r="I994" s="4">
        <v>0</v>
      </c>
    </row>
    <row r="995" spans="1:9" x14ac:dyDescent="0.2">
      <c r="A995" s="2">
        <v>13</v>
      </c>
      <c r="B995" s="1" t="s">
        <v>105</v>
      </c>
      <c r="C995" s="4">
        <v>19</v>
      </c>
      <c r="D995" s="8">
        <v>2.44</v>
      </c>
      <c r="E995" s="4">
        <v>12</v>
      </c>
      <c r="F995" s="8">
        <v>3.24</v>
      </c>
      <c r="G995" s="4">
        <v>7</v>
      </c>
      <c r="H995" s="8">
        <v>1.75</v>
      </c>
      <c r="I995" s="4">
        <v>0</v>
      </c>
    </row>
    <row r="996" spans="1:9" x14ac:dyDescent="0.2">
      <c r="A996" s="2">
        <v>14</v>
      </c>
      <c r="B996" s="1" t="s">
        <v>102</v>
      </c>
      <c r="C996" s="4">
        <v>16</v>
      </c>
      <c r="D996" s="8">
        <v>2.0499999999999998</v>
      </c>
      <c r="E996" s="4">
        <v>4</v>
      </c>
      <c r="F996" s="8">
        <v>1.08</v>
      </c>
      <c r="G996" s="4">
        <v>12</v>
      </c>
      <c r="H996" s="8">
        <v>2.99</v>
      </c>
      <c r="I996" s="4">
        <v>0</v>
      </c>
    </row>
    <row r="997" spans="1:9" x14ac:dyDescent="0.2">
      <c r="A997" s="2">
        <v>15</v>
      </c>
      <c r="B997" s="1" t="s">
        <v>115</v>
      </c>
      <c r="C997" s="4">
        <v>15</v>
      </c>
      <c r="D997" s="8">
        <v>1.93</v>
      </c>
      <c r="E997" s="4">
        <v>12</v>
      </c>
      <c r="F997" s="8">
        <v>3.24</v>
      </c>
      <c r="G997" s="4">
        <v>3</v>
      </c>
      <c r="H997" s="8">
        <v>0.75</v>
      </c>
      <c r="I997" s="4">
        <v>0</v>
      </c>
    </row>
    <row r="998" spans="1:9" x14ac:dyDescent="0.2">
      <c r="A998" s="2">
        <v>16</v>
      </c>
      <c r="B998" s="1" t="s">
        <v>110</v>
      </c>
      <c r="C998" s="4">
        <v>14</v>
      </c>
      <c r="D998" s="8">
        <v>1.8</v>
      </c>
      <c r="E998" s="4">
        <v>9</v>
      </c>
      <c r="F998" s="8">
        <v>2.4300000000000002</v>
      </c>
      <c r="G998" s="4">
        <v>5</v>
      </c>
      <c r="H998" s="8">
        <v>1.25</v>
      </c>
      <c r="I998" s="4">
        <v>0</v>
      </c>
    </row>
    <row r="999" spans="1:9" x14ac:dyDescent="0.2">
      <c r="A999" s="2">
        <v>17</v>
      </c>
      <c r="B999" s="1" t="s">
        <v>103</v>
      </c>
      <c r="C999" s="4">
        <v>13</v>
      </c>
      <c r="D999" s="8">
        <v>1.67</v>
      </c>
      <c r="E999" s="4">
        <v>2</v>
      </c>
      <c r="F999" s="8">
        <v>0.54</v>
      </c>
      <c r="G999" s="4">
        <v>11</v>
      </c>
      <c r="H999" s="8">
        <v>2.74</v>
      </c>
      <c r="I999" s="4">
        <v>0</v>
      </c>
    </row>
    <row r="1000" spans="1:9" x14ac:dyDescent="0.2">
      <c r="A1000" s="2">
        <v>17</v>
      </c>
      <c r="B1000" s="1" t="s">
        <v>123</v>
      </c>
      <c r="C1000" s="4">
        <v>13</v>
      </c>
      <c r="D1000" s="8">
        <v>1.67</v>
      </c>
      <c r="E1000" s="4">
        <v>11</v>
      </c>
      <c r="F1000" s="8">
        <v>2.97</v>
      </c>
      <c r="G1000" s="4">
        <v>2</v>
      </c>
      <c r="H1000" s="8">
        <v>0.5</v>
      </c>
      <c r="I1000" s="4">
        <v>0</v>
      </c>
    </row>
    <row r="1001" spans="1:9" x14ac:dyDescent="0.2">
      <c r="A1001" s="2">
        <v>19</v>
      </c>
      <c r="B1001" s="1" t="s">
        <v>138</v>
      </c>
      <c r="C1001" s="4">
        <v>12</v>
      </c>
      <c r="D1001" s="8">
        <v>1.54</v>
      </c>
      <c r="E1001" s="4">
        <v>12</v>
      </c>
      <c r="F1001" s="8">
        <v>3.24</v>
      </c>
      <c r="G1001" s="4">
        <v>0</v>
      </c>
      <c r="H1001" s="8">
        <v>0</v>
      </c>
      <c r="I1001" s="4">
        <v>0</v>
      </c>
    </row>
    <row r="1002" spans="1:9" x14ac:dyDescent="0.2">
      <c r="A1002" s="2">
        <v>19</v>
      </c>
      <c r="B1002" s="1" t="s">
        <v>116</v>
      </c>
      <c r="C1002" s="4">
        <v>12</v>
      </c>
      <c r="D1002" s="8">
        <v>1.54</v>
      </c>
      <c r="E1002" s="4">
        <v>1</v>
      </c>
      <c r="F1002" s="8">
        <v>0.27</v>
      </c>
      <c r="G1002" s="4">
        <v>8</v>
      </c>
      <c r="H1002" s="8">
        <v>2</v>
      </c>
      <c r="I1002" s="4">
        <v>1</v>
      </c>
    </row>
    <row r="1003" spans="1:9" x14ac:dyDescent="0.2">
      <c r="A1003" s="2">
        <v>19</v>
      </c>
      <c r="B1003" s="1" t="s">
        <v>139</v>
      </c>
      <c r="C1003" s="4">
        <v>12</v>
      </c>
      <c r="D1003" s="8">
        <v>1.54</v>
      </c>
      <c r="E1003" s="4">
        <v>7</v>
      </c>
      <c r="F1003" s="8">
        <v>1.89</v>
      </c>
      <c r="G1003" s="4">
        <v>5</v>
      </c>
      <c r="H1003" s="8">
        <v>1.25</v>
      </c>
      <c r="I1003" s="4">
        <v>0</v>
      </c>
    </row>
    <row r="1004" spans="1:9" x14ac:dyDescent="0.2">
      <c r="A1004" s="1"/>
      <c r="C1004" s="4"/>
      <c r="D1004" s="8"/>
      <c r="E1004" s="4"/>
      <c r="F1004" s="8"/>
      <c r="G1004" s="4"/>
      <c r="H1004" s="8"/>
      <c r="I1004" s="4"/>
    </row>
    <row r="1005" spans="1:9" x14ac:dyDescent="0.2">
      <c r="A1005" s="1" t="s">
        <v>45</v>
      </c>
      <c r="C1005" s="4"/>
      <c r="D1005" s="8"/>
      <c r="E1005" s="4"/>
      <c r="F1005" s="8"/>
      <c r="G1005" s="4"/>
      <c r="H1005" s="8"/>
      <c r="I1005" s="4"/>
    </row>
    <row r="1006" spans="1:9" x14ac:dyDescent="0.2">
      <c r="A1006" s="2">
        <v>1</v>
      </c>
      <c r="B1006" s="1" t="s">
        <v>113</v>
      </c>
      <c r="C1006" s="4">
        <v>43</v>
      </c>
      <c r="D1006" s="8">
        <v>10.75</v>
      </c>
      <c r="E1006" s="4">
        <v>38</v>
      </c>
      <c r="F1006" s="8">
        <v>19.79</v>
      </c>
      <c r="G1006" s="4">
        <v>5</v>
      </c>
      <c r="H1006" s="8">
        <v>2.4300000000000002</v>
      </c>
      <c r="I1006" s="4">
        <v>0</v>
      </c>
    </row>
    <row r="1007" spans="1:9" x14ac:dyDescent="0.2">
      <c r="A1007" s="2">
        <v>2</v>
      </c>
      <c r="B1007" s="1" t="s">
        <v>112</v>
      </c>
      <c r="C1007" s="4">
        <v>35</v>
      </c>
      <c r="D1007" s="8">
        <v>8.75</v>
      </c>
      <c r="E1007" s="4">
        <v>29</v>
      </c>
      <c r="F1007" s="8">
        <v>15.1</v>
      </c>
      <c r="G1007" s="4">
        <v>6</v>
      </c>
      <c r="H1007" s="8">
        <v>2.91</v>
      </c>
      <c r="I1007" s="4">
        <v>0</v>
      </c>
    </row>
    <row r="1008" spans="1:9" x14ac:dyDescent="0.2">
      <c r="A1008" s="2">
        <v>3</v>
      </c>
      <c r="B1008" s="1" t="s">
        <v>98</v>
      </c>
      <c r="C1008" s="4">
        <v>31</v>
      </c>
      <c r="D1008" s="8">
        <v>7.75</v>
      </c>
      <c r="E1008" s="4">
        <v>6</v>
      </c>
      <c r="F1008" s="8">
        <v>3.13</v>
      </c>
      <c r="G1008" s="4">
        <v>25</v>
      </c>
      <c r="H1008" s="8">
        <v>12.14</v>
      </c>
      <c r="I1008" s="4">
        <v>0</v>
      </c>
    </row>
    <row r="1009" spans="1:9" x14ac:dyDescent="0.2">
      <c r="A1009" s="2">
        <v>4</v>
      </c>
      <c r="B1009" s="1" t="s">
        <v>109</v>
      </c>
      <c r="C1009" s="4">
        <v>28</v>
      </c>
      <c r="D1009" s="8">
        <v>7</v>
      </c>
      <c r="E1009" s="4">
        <v>8</v>
      </c>
      <c r="F1009" s="8">
        <v>4.17</v>
      </c>
      <c r="G1009" s="4">
        <v>20</v>
      </c>
      <c r="H1009" s="8">
        <v>9.7100000000000009</v>
      </c>
      <c r="I1009" s="4">
        <v>0</v>
      </c>
    </row>
    <row r="1010" spans="1:9" x14ac:dyDescent="0.2">
      <c r="A1010" s="2">
        <v>5</v>
      </c>
      <c r="B1010" s="1" t="s">
        <v>107</v>
      </c>
      <c r="C1010" s="4">
        <v>26</v>
      </c>
      <c r="D1010" s="8">
        <v>6.5</v>
      </c>
      <c r="E1010" s="4">
        <v>18</v>
      </c>
      <c r="F1010" s="8">
        <v>9.3800000000000008</v>
      </c>
      <c r="G1010" s="4">
        <v>8</v>
      </c>
      <c r="H1010" s="8">
        <v>3.88</v>
      </c>
      <c r="I1010" s="4">
        <v>0</v>
      </c>
    </row>
    <row r="1011" spans="1:9" x14ac:dyDescent="0.2">
      <c r="A1011" s="2">
        <v>6</v>
      </c>
      <c r="B1011" s="1" t="s">
        <v>99</v>
      </c>
      <c r="C1011" s="4">
        <v>20</v>
      </c>
      <c r="D1011" s="8">
        <v>5</v>
      </c>
      <c r="E1011" s="4">
        <v>9</v>
      </c>
      <c r="F1011" s="8">
        <v>4.6900000000000004</v>
      </c>
      <c r="G1011" s="4">
        <v>11</v>
      </c>
      <c r="H1011" s="8">
        <v>5.34</v>
      </c>
      <c r="I1011" s="4">
        <v>0</v>
      </c>
    </row>
    <row r="1012" spans="1:9" x14ac:dyDescent="0.2">
      <c r="A1012" s="2">
        <v>7</v>
      </c>
      <c r="B1012" s="1" t="s">
        <v>100</v>
      </c>
      <c r="C1012" s="4">
        <v>15</v>
      </c>
      <c r="D1012" s="8">
        <v>3.75</v>
      </c>
      <c r="E1012" s="4">
        <v>4</v>
      </c>
      <c r="F1012" s="8">
        <v>2.08</v>
      </c>
      <c r="G1012" s="4">
        <v>11</v>
      </c>
      <c r="H1012" s="8">
        <v>5.34</v>
      </c>
      <c r="I1012" s="4">
        <v>0</v>
      </c>
    </row>
    <row r="1013" spans="1:9" x14ac:dyDescent="0.2">
      <c r="A1013" s="2">
        <v>7</v>
      </c>
      <c r="B1013" s="1" t="s">
        <v>106</v>
      </c>
      <c r="C1013" s="4">
        <v>15</v>
      </c>
      <c r="D1013" s="8">
        <v>3.75</v>
      </c>
      <c r="E1013" s="4">
        <v>11</v>
      </c>
      <c r="F1013" s="8">
        <v>5.73</v>
      </c>
      <c r="G1013" s="4">
        <v>4</v>
      </c>
      <c r="H1013" s="8">
        <v>1.94</v>
      </c>
      <c r="I1013" s="4">
        <v>0</v>
      </c>
    </row>
    <row r="1014" spans="1:9" x14ac:dyDescent="0.2">
      <c r="A1014" s="2">
        <v>9</v>
      </c>
      <c r="B1014" s="1" t="s">
        <v>105</v>
      </c>
      <c r="C1014" s="4">
        <v>13</v>
      </c>
      <c r="D1014" s="8">
        <v>3.25</v>
      </c>
      <c r="E1014" s="4">
        <v>12</v>
      </c>
      <c r="F1014" s="8">
        <v>6.25</v>
      </c>
      <c r="G1014" s="4">
        <v>1</v>
      </c>
      <c r="H1014" s="8">
        <v>0.49</v>
      </c>
      <c r="I1014" s="4">
        <v>0</v>
      </c>
    </row>
    <row r="1015" spans="1:9" x14ac:dyDescent="0.2">
      <c r="A1015" s="2">
        <v>10</v>
      </c>
      <c r="B1015" s="1" t="s">
        <v>110</v>
      </c>
      <c r="C1015" s="4">
        <v>12</v>
      </c>
      <c r="D1015" s="8">
        <v>3</v>
      </c>
      <c r="E1015" s="4">
        <v>5</v>
      </c>
      <c r="F1015" s="8">
        <v>2.6</v>
      </c>
      <c r="G1015" s="4">
        <v>7</v>
      </c>
      <c r="H1015" s="8">
        <v>3.4</v>
      </c>
      <c r="I1015" s="4">
        <v>0</v>
      </c>
    </row>
    <row r="1016" spans="1:9" x14ac:dyDescent="0.2">
      <c r="A1016" s="2">
        <v>10</v>
      </c>
      <c r="B1016" s="1" t="s">
        <v>115</v>
      </c>
      <c r="C1016" s="4">
        <v>12</v>
      </c>
      <c r="D1016" s="8">
        <v>3</v>
      </c>
      <c r="E1016" s="4">
        <v>11</v>
      </c>
      <c r="F1016" s="8">
        <v>5.73</v>
      </c>
      <c r="G1016" s="4">
        <v>1</v>
      </c>
      <c r="H1016" s="8">
        <v>0.49</v>
      </c>
      <c r="I1016" s="4">
        <v>0</v>
      </c>
    </row>
    <row r="1017" spans="1:9" x14ac:dyDescent="0.2">
      <c r="A1017" s="2">
        <v>12</v>
      </c>
      <c r="B1017" s="1" t="s">
        <v>114</v>
      </c>
      <c r="C1017" s="4">
        <v>10</v>
      </c>
      <c r="D1017" s="8">
        <v>2.5</v>
      </c>
      <c r="E1017" s="4">
        <v>8</v>
      </c>
      <c r="F1017" s="8">
        <v>4.17</v>
      </c>
      <c r="G1017" s="4">
        <v>2</v>
      </c>
      <c r="H1017" s="8">
        <v>0.97</v>
      </c>
      <c r="I1017" s="4">
        <v>0</v>
      </c>
    </row>
    <row r="1018" spans="1:9" x14ac:dyDescent="0.2">
      <c r="A1018" s="2">
        <v>13</v>
      </c>
      <c r="B1018" s="1" t="s">
        <v>137</v>
      </c>
      <c r="C1018" s="4">
        <v>8</v>
      </c>
      <c r="D1018" s="8">
        <v>2</v>
      </c>
      <c r="E1018" s="4">
        <v>0</v>
      </c>
      <c r="F1018" s="8">
        <v>0</v>
      </c>
      <c r="G1018" s="4">
        <v>8</v>
      </c>
      <c r="H1018" s="8">
        <v>3.88</v>
      </c>
      <c r="I1018" s="4">
        <v>0</v>
      </c>
    </row>
    <row r="1019" spans="1:9" x14ac:dyDescent="0.2">
      <c r="A1019" s="2">
        <v>13</v>
      </c>
      <c r="B1019" s="1" t="s">
        <v>104</v>
      </c>
      <c r="C1019" s="4">
        <v>8</v>
      </c>
      <c r="D1019" s="8">
        <v>2</v>
      </c>
      <c r="E1019" s="4">
        <v>5</v>
      </c>
      <c r="F1019" s="8">
        <v>2.6</v>
      </c>
      <c r="G1019" s="4">
        <v>3</v>
      </c>
      <c r="H1019" s="8">
        <v>1.46</v>
      </c>
      <c r="I1019" s="4">
        <v>0</v>
      </c>
    </row>
    <row r="1020" spans="1:9" x14ac:dyDescent="0.2">
      <c r="A1020" s="2">
        <v>15</v>
      </c>
      <c r="B1020" s="1" t="s">
        <v>118</v>
      </c>
      <c r="C1020" s="4">
        <v>7</v>
      </c>
      <c r="D1020" s="8">
        <v>1.75</v>
      </c>
      <c r="E1020" s="4">
        <v>0</v>
      </c>
      <c r="F1020" s="8">
        <v>0</v>
      </c>
      <c r="G1020" s="4">
        <v>7</v>
      </c>
      <c r="H1020" s="8">
        <v>3.4</v>
      </c>
      <c r="I1020" s="4">
        <v>0</v>
      </c>
    </row>
    <row r="1021" spans="1:9" x14ac:dyDescent="0.2">
      <c r="A1021" s="2">
        <v>16</v>
      </c>
      <c r="B1021" s="1" t="s">
        <v>102</v>
      </c>
      <c r="C1021" s="4">
        <v>6</v>
      </c>
      <c r="D1021" s="8">
        <v>1.5</v>
      </c>
      <c r="E1021" s="4">
        <v>1</v>
      </c>
      <c r="F1021" s="8">
        <v>0.52</v>
      </c>
      <c r="G1021" s="4">
        <v>5</v>
      </c>
      <c r="H1021" s="8">
        <v>2.4300000000000002</v>
      </c>
      <c r="I1021" s="4">
        <v>0</v>
      </c>
    </row>
    <row r="1022" spans="1:9" x14ac:dyDescent="0.2">
      <c r="A1022" s="2">
        <v>16</v>
      </c>
      <c r="B1022" s="1" t="s">
        <v>103</v>
      </c>
      <c r="C1022" s="4">
        <v>6</v>
      </c>
      <c r="D1022" s="8">
        <v>1.5</v>
      </c>
      <c r="E1022" s="4">
        <v>0</v>
      </c>
      <c r="F1022" s="8">
        <v>0</v>
      </c>
      <c r="G1022" s="4">
        <v>6</v>
      </c>
      <c r="H1022" s="8">
        <v>2.91</v>
      </c>
      <c r="I1022" s="4">
        <v>0</v>
      </c>
    </row>
    <row r="1023" spans="1:9" x14ac:dyDescent="0.2">
      <c r="A1023" s="2">
        <v>16</v>
      </c>
      <c r="B1023" s="1" t="s">
        <v>108</v>
      </c>
      <c r="C1023" s="4">
        <v>6</v>
      </c>
      <c r="D1023" s="8">
        <v>1.5</v>
      </c>
      <c r="E1023" s="4">
        <v>0</v>
      </c>
      <c r="F1023" s="8">
        <v>0</v>
      </c>
      <c r="G1023" s="4">
        <v>6</v>
      </c>
      <c r="H1023" s="8">
        <v>2.91</v>
      </c>
      <c r="I1023" s="4">
        <v>0</v>
      </c>
    </row>
    <row r="1024" spans="1:9" x14ac:dyDescent="0.2">
      <c r="A1024" s="2">
        <v>16</v>
      </c>
      <c r="B1024" s="1" t="s">
        <v>111</v>
      </c>
      <c r="C1024" s="4">
        <v>6</v>
      </c>
      <c r="D1024" s="8">
        <v>1.5</v>
      </c>
      <c r="E1024" s="4">
        <v>2</v>
      </c>
      <c r="F1024" s="8">
        <v>1.04</v>
      </c>
      <c r="G1024" s="4">
        <v>4</v>
      </c>
      <c r="H1024" s="8">
        <v>1.94</v>
      </c>
      <c r="I1024" s="4">
        <v>0</v>
      </c>
    </row>
    <row r="1025" spans="1:9" x14ac:dyDescent="0.2">
      <c r="A1025" s="2">
        <v>16</v>
      </c>
      <c r="B1025" s="1" t="s">
        <v>121</v>
      </c>
      <c r="C1025" s="4">
        <v>6</v>
      </c>
      <c r="D1025" s="8">
        <v>1.5</v>
      </c>
      <c r="E1025" s="4">
        <v>2</v>
      </c>
      <c r="F1025" s="8">
        <v>1.04</v>
      </c>
      <c r="G1025" s="4">
        <v>4</v>
      </c>
      <c r="H1025" s="8">
        <v>1.94</v>
      </c>
      <c r="I1025" s="4">
        <v>0</v>
      </c>
    </row>
    <row r="1026" spans="1:9" x14ac:dyDescent="0.2">
      <c r="A1026" s="2">
        <v>16</v>
      </c>
      <c r="B1026" s="1" t="s">
        <v>123</v>
      </c>
      <c r="C1026" s="4">
        <v>6</v>
      </c>
      <c r="D1026" s="8">
        <v>1.5</v>
      </c>
      <c r="E1026" s="4">
        <v>2</v>
      </c>
      <c r="F1026" s="8">
        <v>1.04</v>
      </c>
      <c r="G1026" s="4">
        <v>4</v>
      </c>
      <c r="H1026" s="8">
        <v>1.94</v>
      </c>
      <c r="I1026" s="4">
        <v>0</v>
      </c>
    </row>
    <row r="1027" spans="1:9" x14ac:dyDescent="0.2">
      <c r="A1027" s="2">
        <v>16</v>
      </c>
      <c r="B1027" s="1" t="s">
        <v>117</v>
      </c>
      <c r="C1027" s="4">
        <v>6</v>
      </c>
      <c r="D1027" s="8">
        <v>1.5</v>
      </c>
      <c r="E1027" s="4">
        <v>1</v>
      </c>
      <c r="F1027" s="8">
        <v>0.52</v>
      </c>
      <c r="G1027" s="4">
        <v>5</v>
      </c>
      <c r="H1027" s="8">
        <v>2.4300000000000002</v>
      </c>
      <c r="I1027" s="4">
        <v>0</v>
      </c>
    </row>
    <row r="1028" spans="1:9" x14ac:dyDescent="0.2">
      <c r="A1028" s="1"/>
      <c r="C1028" s="4"/>
      <c r="D1028" s="8"/>
      <c r="E1028" s="4"/>
      <c r="F1028" s="8"/>
      <c r="G1028" s="4"/>
      <c r="H1028" s="8"/>
      <c r="I1028" s="4"/>
    </row>
    <row r="1029" spans="1:9" x14ac:dyDescent="0.2">
      <c r="A1029" s="1" t="s">
        <v>46</v>
      </c>
      <c r="C1029" s="4"/>
      <c r="D1029" s="8"/>
      <c r="E1029" s="4"/>
      <c r="F1029" s="8"/>
      <c r="G1029" s="4"/>
      <c r="H1029" s="8"/>
      <c r="I1029" s="4"/>
    </row>
    <row r="1030" spans="1:9" x14ac:dyDescent="0.2">
      <c r="A1030" s="2">
        <v>1</v>
      </c>
      <c r="B1030" s="1" t="s">
        <v>109</v>
      </c>
      <c r="C1030" s="4">
        <v>99</v>
      </c>
      <c r="D1030" s="8">
        <v>10.94</v>
      </c>
      <c r="E1030" s="4">
        <v>31</v>
      </c>
      <c r="F1030" s="8">
        <v>8.4499999999999993</v>
      </c>
      <c r="G1030" s="4">
        <v>68</v>
      </c>
      <c r="H1030" s="8">
        <v>12.78</v>
      </c>
      <c r="I1030" s="4">
        <v>0</v>
      </c>
    </row>
    <row r="1031" spans="1:9" x14ac:dyDescent="0.2">
      <c r="A1031" s="2">
        <v>2</v>
      </c>
      <c r="B1031" s="1" t="s">
        <v>112</v>
      </c>
      <c r="C1031" s="4">
        <v>79</v>
      </c>
      <c r="D1031" s="8">
        <v>8.73</v>
      </c>
      <c r="E1031" s="4">
        <v>68</v>
      </c>
      <c r="F1031" s="8">
        <v>18.53</v>
      </c>
      <c r="G1031" s="4">
        <v>11</v>
      </c>
      <c r="H1031" s="8">
        <v>2.0699999999999998</v>
      </c>
      <c r="I1031" s="4">
        <v>0</v>
      </c>
    </row>
    <row r="1032" spans="1:9" x14ac:dyDescent="0.2">
      <c r="A1032" s="2">
        <v>3</v>
      </c>
      <c r="B1032" s="1" t="s">
        <v>113</v>
      </c>
      <c r="C1032" s="4">
        <v>68</v>
      </c>
      <c r="D1032" s="8">
        <v>7.51</v>
      </c>
      <c r="E1032" s="4">
        <v>55</v>
      </c>
      <c r="F1032" s="8">
        <v>14.99</v>
      </c>
      <c r="G1032" s="4">
        <v>13</v>
      </c>
      <c r="H1032" s="8">
        <v>2.44</v>
      </c>
      <c r="I1032" s="4">
        <v>0</v>
      </c>
    </row>
    <row r="1033" spans="1:9" x14ac:dyDescent="0.2">
      <c r="A1033" s="2">
        <v>4</v>
      </c>
      <c r="B1033" s="1" t="s">
        <v>99</v>
      </c>
      <c r="C1033" s="4">
        <v>53</v>
      </c>
      <c r="D1033" s="8">
        <v>5.86</v>
      </c>
      <c r="E1033" s="4">
        <v>15</v>
      </c>
      <c r="F1033" s="8">
        <v>4.09</v>
      </c>
      <c r="G1033" s="4">
        <v>38</v>
      </c>
      <c r="H1033" s="8">
        <v>7.14</v>
      </c>
      <c r="I1033" s="4">
        <v>0</v>
      </c>
    </row>
    <row r="1034" spans="1:9" x14ac:dyDescent="0.2">
      <c r="A1034" s="2">
        <v>5</v>
      </c>
      <c r="B1034" s="1" t="s">
        <v>107</v>
      </c>
      <c r="C1034" s="4">
        <v>50</v>
      </c>
      <c r="D1034" s="8">
        <v>5.52</v>
      </c>
      <c r="E1034" s="4">
        <v>23</v>
      </c>
      <c r="F1034" s="8">
        <v>6.27</v>
      </c>
      <c r="G1034" s="4">
        <v>27</v>
      </c>
      <c r="H1034" s="8">
        <v>5.08</v>
      </c>
      <c r="I1034" s="4">
        <v>0</v>
      </c>
    </row>
    <row r="1035" spans="1:9" x14ac:dyDescent="0.2">
      <c r="A1035" s="2">
        <v>6</v>
      </c>
      <c r="B1035" s="1" t="s">
        <v>105</v>
      </c>
      <c r="C1035" s="4">
        <v>44</v>
      </c>
      <c r="D1035" s="8">
        <v>4.8600000000000003</v>
      </c>
      <c r="E1035" s="4">
        <v>30</v>
      </c>
      <c r="F1035" s="8">
        <v>8.17</v>
      </c>
      <c r="G1035" s="4">
        <v>14</v>
      </c>
      <c r="H1035" s="8">
        <v>2.63</v>
      </c>
      <c r="I1035" s="4">
        <v>0</v>
      </c>
    </row>
    <row r="1036" spans="1:9" x14ac:dyDescent="0.2">
      <c r="A1036" s="2">
        <v>7</v>
      </c>
      <c r="B1036" s="1" t="s">
        <v>100</v>
      </c>
      <c r="C1036" s="4">
        <v>43</v>
      </c>
      <c r="D1036" s="8">
        <v>4.75</v>
      </c>
      <c r="E1036" s="4">
        <v>2</v>
      </c>
      <c r="F1036" s="8">
        <v>0.54</v>
      </c>
      <c r="G1036" s="4">
        <v>41</v>
      </c>
      <c r="H1036" s="8">
        <v>7.71</v>
      </c>
      <c r="I1036" s="4">
        <v>0</v>
      </c>
    </row>
    <row r="1037" spans="1:9" x14ac:dyDescent="0.2">
      <c r="A1037" s="2">
        <v>8</v>
      </c>
      <c r="B1037" s="1" t="s">
        <v>106</v>
      </c>
      <c r="C1037" s="4">
        <v>39</v>
      </c>
      <c r="D1037" s="8">
        <v>4.3099999999999996</v>
      </c>
      <c r="E1037" s="4">
        <v>23</v>
      </c>
      <c r="F1037" s="8">
        <v>6.27</v>
      </c>
      <c r="G1037" s="4">
        <v>16</v>
      </c>
      <c r="H1037" s="8">
        <v>3.01</v>
      </c>
      <c r="I1037" s="4">
        <v>0</v>
      </c>
    </row>
    <row r="1038" spans="1:9" x14ac:dyDescent="0.2">
      <c r="A1038" s="2">
        <v>9</v>
      </c>
      <c r="B1038" s="1" t="s">
        <v>98</v>
      </c>
      <c r="C1038" s="4">
        <v>37</v>
      </c>
      <c r="D1038" s="8">
        <v>4.09</v>
      </c>
      <c r="E1038" s="4">
        <v>7</v>
      </c>
      <c r="F1038" s="8">
        <v>1.91</v>
      </c>
      <c r="G1038" s="4">
        <v>30</v>
      </c>
      <c r="H1038" s="8">
        <v>5.64</v>
      </c>
      <c r="I1038" s="4">
        <v>0</v>
      </c>
    </row>
    <row r="1039" spans="1:9" x14ac:dyDescent="0.2">
      <c r="A1039" s="2">
        <v>10</v>
      </c>
      <c r="B1039" s="1" t="s">
        <v>119</v>
      </c>
      <c r="C1039" s="4">
        <v>21</v>
      </c>
      <c r="D1039" s="8">
        <v>2.3199999999999998</v>
      </c>
      <c r="E1039" s="4">
        <v>6</v>
      </c>
      <c r="F1039" s="8">
        <v>1.63</v>
      </c>
      <c r="G1039" s="4">
        <v>15</v>
      </c>
      <c r="H1039" s="8">
        <v>2.82</v>
      </c>
      <c r="I1039" s="4">
        <v>0</v>
      </c>
    </row>
    <row r="1040" spans="1:9" x14ac:dyDescent="0.2">
      <c r="A1040" s="2">
        <v>10</v>
      </c>
      <c r="B1040" s="1" t="s">
        <v>115</v>
      </c>
      <c r="C1040" s="4">
        <v>21</v>
      </c>
      <c r="D1040" s="8">
        <v>2.3199999999999998</v>
      </c>
      <c r="E1040" s="4">
        <v>15</v>
      </c>
      <c r="F1040" s="8">
        <v>4.09</v>
      </c>
      <c r="G1040" s="4">
        <v>6</v>
      </c>
      <c r="H1040" s="8">
        <v>1.1299999999999999</v>
      </c>
      <c r="I1040" s="4">
        <v>0</v>
      </c>
    </row>
    <row r="1041" spans="1:9" x14ac:dyDescent="0.2">
      <c r="A1041" s="2">
        <v>12</v>
      </c>
      <c r="B1041" s="1" t="s">
        <v>124</v>
      </c>
      <c r="C1041" s="4">
        <v>20</v>
      </c>
      <c r="D1041" s="8">
        <v>2.21</v>
      </c>
      <c r="E1041" s="4">
        <v>5</v>
      </c>
      <c r="F1041" s="8">
        <v>1.36</v>
      </c>
      <c r="G1041" s="4">
        <v>15</v>
      </c>
      <c r="H1041" s="8">
        <v>2.82</v>
      </c>
      <c r="I1041" s="4">
        <v>0</v>
      </c>
    </row>
    <row r="1042" spans="1:9" x14ac:dyDescent="0.2">
      <c r="A1042" s="2">
        <v>13</v>
      </c>
      <c r="B1042" s="1" t="s">
        <v>114</v>
      </c>
      <c r="C1042" s="4">
        <v>19</v>
      </c>
      <c r="D1042" s="8">
        <v>2.1</v>
      </c>
      <c r="E1042" s="4">
        <v>12</v>
      </c>
      <c r="F1042" s="8">
        <v>3.27</v>
      </c>
      <c r="G1042" s="4">
        <v>7</v>
      </c>
      <c r="H1042" s="8">
        <v>1.32</v>
      </c>
      <c r="I1042" s="4">
        <v>0</v>
      </c>
    </row>
    <row r="1043" spans="1:9" x14ac:dyDescent="0.2">
      <c r="A1043" s="2">
        <v>14</v>
      </c>
      <c r="B1043" s="1" t="s">
        <v>103</v>
      </c>
      <c r="C1043" s="4">
        <v>18</v>
      </c>
      <c r="D1043" s="8">
        <v>1.99</v>
      </c>
      <c r="E1043" s="4">
        <v>5</v>
      </c>
      <c r="F1043" s="8">
        <v>1.36</v>
      </c>
      <c r="G1043" s="4">
        <v>13</v>
      </c>
      <c r="H1043" s="8">
        <v>2.44</v>
      </c>
      <c r="I1043" s="4">
        <v>0</v>
      </c>
    </row>
    <row r="1044" spans="1:9" x14ac:dyDescent="0.2">
      <c r="A1044" s="2">
        <v>14</v>
      </c>
      <c r="B1044" s="1" t="s">
        <v>123</v>
      </c>
      <c r="C1044" s="4">
        <v>18</v>
      </c>
      <c r="D1044" s="8">
        <v>1.99</v>
      </c>
      <c r="E1044" s="4">
        <v>8</v>
      </c>
      <c r="F1044" s="8">
        <v>2.1800000000000002</v>
      </c>
      <c r="G1044" s="4">
        <v>10</v>
      </c>
      <c r="H1044" s="8">
        <v>1.88</v>
      </c>
      <c r="I1044" s="4">
        <v>0</v>
      </c>
    </row>
    <row r="1045" spans="1:9" x14ac:dyDescent="0.2">
      <c r="A1045" s="2">
        <v>16</v>
      </c>
      <c r="B1045" s="1" t="s">
        <v>110</v>
      </c>
      <c r="C1045" s="4">
        <v>16</v>
      </c>
      <c r="D1045" s="8">
        <v>1.77</v>
      </c>
      <c r="E1045" s="4">
        <v>7</v>
      </c>
      <c r="F1045" s="8">
        <v>1.91</v>
      </c>
      <c r="G1045" s="4">
        <v>9</v>
      </c>
      <c r="H1045" s="8">
        <v>1.69</v>
      </c>
      <c r="I1045" s="4">
        <v>0</v>
      </c>
    </row>
    <row r="1046" spans="1:9" x14ac:dyDescent="0.2">
      <c r="A1046" s="2">
        <v>17</v>
      </c>
      <c r="B1046" s="1" t="s">
        <v>101</v>
      </c>
      <c r="C1046" s="4">
        <v>14</v>
      </c>
      <c r="D1046" s="8">
        <v>1.55</v>
      </c>
      <c r="E1046" s="4">
        <v>3</v>
      </c>
      <c r="F1046" s="8">
        <v>0.82</v>
      </c>
      <c r="G1046" s="4">
        <v>11</v>
      </c>
      <c r="H1046" s="8">
        <v>2.0699999999999998</v>
      </c>
      <c r="I1046" s="4">
        <v>0</v>
      </c>
    </row>
    <row r="1047" spans="1:9" x14ac:dyDescent="0.2">
      <c r="A1047" s="2">
        <v>17</v>
      </c>
      <c r="B1047" s="1" t="s">
        <v>104</v>
      </c>
      <c r="C1047" s="4">
        <v>14</v>
      </c>
      <c r="D1047" s="8">
        <v>1.55</v>
      </c>
      <c r="E1047" s="4">
        <v>4</v>
      </c>
      <c r="F1047" s="8">
        <v>1.0900000000000001</v>
      </c>
      <c r="G1047" s="4">
        <v>10</v>
      </c>
      <c r="H1047" s="8">
        <v>1.88</v>
      </c>
      <c r="I1047" s="4">
        <v>0</v>
      </c>
    </row>
    <row r="1048" spans="1:9" x14ac:dyDescent="0.2">
      <c r="A1048" s="2">
        <v>17</v>
      </c>
      <c r="B1048" s="1" t="s">
        <v>108</v>
      </c>
      <c r="C1048" s="4">
        <v>14</v>
      </c>
      <c r="D1048" s="8">
        <v>1.55</v>
      </c>
      <c r="E1048" s="4">
        <v>1</v>
      </c>
      <c r="F1048" s="8">
        <v>0.27</v>
      </c>
      <c r="G1048" s="4">
        <v>13</v>
      </c>
      <c r="H1048" s="8">
        <v>2.44</v>
      </c>
      <c r="I1048" s="4">
        <v>0</v>
      </c>
    </row>
    <row r="1049" spans="1:9" x14ac:dyDescent="0.2">
      <c r="A1049" s="2">
        <v>17</v>
      </c>
      <c r="B1049" s="1" t="s">
        <v>118</v>
      </c>
      <c r="C1049" s="4">
        <v>14</v>
      </c>
      <c r="D1049" s="8">
        <v>1.55</v>
      </c>
      <c r="E1049" s="4">
        <v>3</v>
      </c>
      <c r="F1049" s="8">
        <v>0.82</v>
      </c>
      <c r="G1049" s="4">
        <v>11</v>
      </c>
      <c r="H1049" s="8">
        <v>2.0699999999999998</v>
      </c>
      <c r="I1049" s="4">
        <v>0</v>
      </c>
    </row>
    <row r="1050" spans="1:9" x14ac:dyDescent="0.2">
      <c r="A1050" s="1"/>
      <c r="C1050" s="4"/>
      <c r="D1050" s="8"/>
      <c r="E1050" s="4"/>
      <c r="F1050" s="8"/>
      <c r="G1050" s="4"/>
      <c r="H1050" s="8"/>
      <c r="I1050" s="4"/>
    </row>
    <row r="1051" spans="1:9" x14ac:dyDescent="0.2">
      <c r="A1051" s="1" t="s">
        <v>47</v>
      </c>
      <c r="C1051" s="4"/>
      <c r="D1051" s="8"/>
      <c r="E1051" s="4"/>
      <c r="F1051" s="8"/>
      <c r="G1051" s="4"/>
      <c r="H1051" s="8"/>
      <c r="I1051" s="4"/>
    </row>
    <row r="1052" spans="1:9" x14ac:dyDescent="0.2">
      <c r="A1052" s="2">
        <v>1</v>
      </c>
      <c r="B1052" s="1" t="s">
        <v>99</v>
      </c>
      <c r="C1052" s="4">
        <v>47</v>
      </c>
      <c r="D1052" s="8">
        <v>8.09</v>
      </c>
      <c r="E1052" s="4">
        <v>20</v>
      </c>
      <c r="F1052" s="8">
        <v>7.69</v>
      </c>
      <c r="G1052" s="4">
        <v>27</v>
      </c>
      <c r="H1052" s="8">
        <v>8.49</v>
      </c>
      <c r="I1052" s="4">
        <v>0</v>
      </c>
    </row>
    <row r="1053" spans="1:9" x14ac:dyDescent="0.2">
      <c r="A1053" s="2">
        <v>2</v>
      </c>
      <c r="B1053" s="1" t="s">
        <v>100</v>
      </c>
      <c r="C1053" s="4">
        <v>46</v>
      </c>
      <c r="D1053" s="8">
        <v>7.92</v>
      </c>
      <c r="E1053" s="4">
        <v>13</v>
      </c>
      <c r="F1053" s="8">
        <v>5</v>
      </c>
      <c r="G1053" s="4">
        <v>33</v>
      </c>
      <c r="H1053" s="8">
        <v>10.38</v>
      </c>
      <c r="I1053" s="4">
        <v>0</v>
      </c>
    </row>
    <row r="1054" spans="1:9" x14ac:dyDescent="0.2">
      <c r="A1054" s="2">
        <v>3</v>
      </c>
      <c r="B1054" s="1" t="s">
        <v>119</v>
      </c>
      <c r="C1054" s="4">
        <v>39</v>
      </c>
      <c r="D1054" s="8">
        <v>6.71</v>
      </c>
      <c r="E1054" s="4">
        <v>12</v>
      </c>
      <c r="F1054" s="8">
        <v>4.62</v>
      </c>
      <c r="G1054" s="4">
        <v>27</v>
      </c>
      <c r="H1054" s="8">
        <v>8.49</v>
      </c>
      <c r="I1054" s="4">
        <v>0</v>
      </c>
    </row>
    <row r="1055" spans="1:9" x14ac:dyDescent="0.2">
      <c r="A1055" s="2">
        <v>4</v>
      </c>
      <c r="B1055" s="1" t="s">
        <v>98</v>
      </c>
      <c r="C1055" s="4">
        <v>36</v>
      </c>
      <c r="D1055" s="8">
        <v>6.2</v>
      </c>
      <c r="E1055" s="4">
        <v>12</v>
      </c>
      <c r="F1055" s="8">
        <v>4.62</v>
      </c>
      <c r="G1055" s="4">
        <v>24</v>
      </c>
      <c r="H1055" s="8">
        <v>7.55</v>
      </c>
      <c r="I1055" s="4">
        <v>0</v>
      </c>
    </row>
    <row r="1056" spans="1:9" x14ac:dyDescent="0.2">
      <c r="A1056" s="2">
        <v>5</v>
      </c>
      <c r="B1056" s="1" t="s">
        <v>112</v>
      </c>
      <c r="C1056" s="4">
        <v>31</v>
      </c>
      <c r="D1056" s="8">
        <v>5.34</v>
      </c>
      <c r="E1056" s="4">
        <v>27</v>
      </c>
      <c r="F1056" s="8">
        <v>10.38</v>
      </c>
      <c r="G1056" s="4">
        <v>4</v>
      </c>
      <c r="H1056" s="8">
        <v>1.26</v>
      </c>
      <c r="I1056" s="4">
        <v>0</v>
      </c>
    </row>
    <row r="1057" spans="1:9" x14ac:dyDescent="0.2">
      <c r="A1057" s="2">
        <v>6</v>
      </c>
      <c r="B1057" s="1" t="s">
        <v>113</v>
      </c>
      <c r="C1057" s="4">
        <v>29</v>
      </c>
      <c r="D1057" s="8">
        <v>4.99</v>
      </c>
      <c r="E1057" s="4">
        <v>26</v>
      </c>
      <c r="F1057" s="8">
        <v>10</v>
      </c>
      <c r="G1057" s="4">
        <v>3</v>
      </c>
      <c r="H1057" s="8">
        <v>0.94</v>
      </c>
      <c r="I1057" s="4">
        <v>0</v>
      </c>
    </row>
    <row r="1058" spans="1:9" x14ac:dyDescent="0.2">
      <c r="A1058" s="2">
        <v>7</v>
      </c>
      <c r="B1058" s="1" t="s">
        <v>131</v>
      </c>
      <c r="C1058" s="4">
        <v>20</v>
      </c>
      <c r="D1058" s="8">
        <v>3.44</v>
      </c>
      <c r="E1058" s="4">
        <v>9</v>
      </c>
      <c r="F1058" s="8">
        <v>3.46</v>
      </c>
      <c r="G1058" s="4">
        <v>11</v>
      </c>
      <c r="H1058" s="8">
        <v>3.46</v>
      </c>
      <c r="I1058" s="4">
        <v>0</v>
      </c>
    </row>
    <row r="1059" spans="1:9" x14ac:dyDescent="0.2">
      <c r="A1059" s="2">
        <v>7</v>
      </c>
      <c r="B1059" s="1" t="s">
        <v>106</v>
      </c>
      <c r="C1059" s="4">
        <v>20</v>
      </c>
      <c r="D1059" s="8">
        <v>3.44</v>
      </c>
      <c r="E1059" s="4">
        <v>14</v>
      </c>
      <c r="F1059" s="8">
        <v>5.38</v>
      </c>
      <c r="G1059" s="4">
        <v>6</v>
      </c>
      <c r="H1059" s="8">
        <v>1.89</v>
      </c>
      <c r="I1059" s="4">
        <v>0</v>
      </c>
    </row>
    <row r="1060" spans="1:9" x14ac:dyDescent="0.2">
      <c r="A1060" s="2">
        <v>7</v>
      </c>
      <c r="B1060" s="1" t="s">
        <v>107</v>
      </c>
      <c r="C1060" s="4">
        <v>20</v>
      </c>
      <c r="D1060" s="8">
        <v>3.44</v>
      </c>
      <c r="E1060" s="4">
        <v>11</v>
      </c>
      <c r="F1060" s="8">
        <v>4.2300000000000004</v>
      </c>
      <c r="G1060" s="4">
        <v>9</v>
      </c>
      <c r="H1060" s="8">
        <v>2.83</v>
      </c>
      <c r="I1060" s="4">
        <v>0</v>
      </c>
    </row>
    <row r="1061" spans="1:9" x14ac:dyDescent="0.2">
      <c r="A1061" s="2">
        <v>7</v>
      </c>
      <c r="B1061" s="1" t="s">
        <v>109</v>
      </c>
      <c r="C1061" s="4">
        <v>20</v>
      </c>
      <c r="D1061" s="8">
        <v>3.44</v>
      </c>
      <c r="E1061" s="4">
        <v>7</v>
      </c>
      <c r="F1061" s="8">
        <v>2.69</v>
      </c>
      <c r="G1061" s="4">
        <v>13</v>
      </c>
      <c r="H1061" s="8">
        <v>4.09</v>
      </c>
      <c r="I1061" s="4">
        <v>0</v>
      </c>
    </row>
    <row r="1062" spans="1:9" x14ac:dyDescent="0.2">
      <c r="A1062" s="2">
        <v>11</v>
      </c>
      <c r="B1062" s="1" t="s">
        <v>123</v>
      </c>
      <c r="C1062" s="4">
        <v>17</v>
      </c>
      <c r="D1062" s="8">
        <v>2.93</v>
      </c>
      <c r="E1062" s="4">
        <v>11</v>
      </c>
      <c r="F1062" s="8">
        <v>4.2300000000000004</v>
      </c>
      <c r="G1062" s="4">
        <v>6</v>
      </c>
      <c r="H1062" s="8">
        <v>1.89</v>
      </c>
      <c r="I1062" s="4">
        <v>0</v>
      </c>
    </row>
    <row r="1063" spans="1:9" x14ac:dyDescent="0.2">
      <c r="A1063" s="2">
        <v>12</v>
      </c>
      <c r="B1063" s="1" t="s">
        <v>114</v>
      </c>
      <c r="C1063" s="4">
        <v>16</v>
      </c>
      <c r="D1063" s="8">
        <v>2.75</v>
      </c>
      <c r="E1063" s="4">
        <v>12</v>
      </c>
      <c r="F1063" s="8">
        <v>4.62</v>
      </c>
      <c r="G1063" s="4">
        <v>1</v>
      </c>
      <c r="H1063" s="8">
        <v>0.31</v>
      </c>
      <c r="I1063" s="4">
        <v>0</v>
      </c>
    </row>
    <row r="1064" spans="1:9" x14ac:dyDescent="0.2">
      <c r="A1064" s="2">
        <v>13</v>
      </c>
      <c r="B1064" s="1" t="s">
        <v>115</v>
      </c>
      <c r="C1064" s="4">
        <v>15</v>
      </c>
      <c r="D1064" s="8">
        <v>2.58</v>
      </c>
      <c r="E1064" s="4">
        <v>15</v>
      </c>
      <c r="F1064" s="8">
        <v>5.77</v>
      </c>
      <c r="G1064" s="4">
        <v>0</v>
      </c>
      <c r="H1064" s="8">
        <v>0</v>
      </c>
      <c r="I1064" s="4">
        <v>0</v>
      </c>
    </row>
    <row r="1065" spans="1:9" x14ac:dyDescent="0.2">
      <c r="A1065" s="2">
        <v>14</v>
      </c>
      <c r="B1065" s="1" t="s">
        <v>102</v>
      </c>
      <c r="C1065" s="4">
        <v>14</v>
      </c>
      <c r="D1065" s="8">
        <v>2.41</v>
      </c>
      <c r="E1065" s="4">
        <v>2</v>
      </c>
      <c r="F1065" s="8">
        <v>0.77</v>
      </c>
      <c r="G1065" s="4">
        <v>12</v>
      </c>
      <c r="H1065" s="8">
        <v>3.77</v>
      </c>
      <c r="I1065" s="4">
        <v>0</v>
      </c>
    </row>
    <row r="1066" spans="1:9" x14ac:dyDescent="0.2">
      <c r="A1066" s="2">
        <v>14</v>
      </c>
      <c r="B1066" s="1" t="s">
        <v>105</v>
      </c>
      <c r="C1066" s="4">
        <v>14</v>
      </c>
      <c r="D1066" s="8">
        <v>2.41</v>
      </c>
      <c r="E1066" s="4">
        <v>9</v>
      </c>
      <c r="F1066" s="8">
        <v>3.46</v>
      </c>
      <c r="G1066" s="4">
        <v>5</v>
      </c>
      <c r="H1066" s="8">
        <v>1.57</v>
      </c>
      <c r="I1066" s="4">
        <v>0</v>
      </c>
    </row>
    <row r="1067" spans="1:9" x14ac:dyDescent="0.2">
      <c r="A1067" s="2">
        <v>14</v>
      </c>
      <c r="B1067" s="1" t="s">
        <v>126</v>
      </c>
      <c r="C1067" s="4">
        <v>14</v>
      </c>
      <c r="D1067" s="8">
        <v>2.41</v>
      </c>
      <c r="E1067" s="4">
        <v>2</v>
      </c>
      <c r="F1067" s="8">
        <v>0.77</v>
      </c>
      <c r="G1067" s="4">
        <v>12</v>
      </c>
      <c r="H1067" s="8">
        <v>3.77</v>
      </c>
      <c r="I1067" s="4">
        <v>0</v>
      </c>
    </row>
    <row r="1068" spans="1:9" x14ac:dyDescent="0.2">
      <c r="A1068" s="2">
        <v>17</v>
      </c>
      <c r="B1068" s="1" t="s">
        <v>132</v>
      </c>
      <c r="C1068" s="4">
        <v>13</v>
      </c>
      <c r="D1068" s="8">
        <v>2.2400000000000002</v>
      </c>
      <c r="E1068" s="4">
        <v>6</v>
      </c>
      <c r="F1068" s="8">
        <v>2.31</v>
      </c>
      <c r="G1068" s="4">
        <v>7</v>
      </c>
      <c r="H1068" s="8">
        <v>2.2000000000000002</v>
      </c>
      <c r="I1068" s="4">
        <v>0</v>
      </c>
    </row>
    <row r="1069" spans="1:9" x14ac:dyDescent="0.2">
      <c r="A1069" s="2">
        <v>17</v>
      </c>
      <c r="B1069" s="1" t="s">
        <v>137</v>
      </c>
      <c r="C1069" s="4">
        <v>13</v>
      </c>
      <c r="D1069" s="8">
        <v>2.2400000000000002</v>
      </c>
      <c r="E1069" s="4">
        <v>1</v>
      </c>
      <c r="F1069" s="8">
        <v>0.38</v>
      </c>
      <c r="G1069" s="4">
        <v>12</v>
      </c>
      <c r="H1069" s="8">
        <v>3.77</v>
      </c>
      <c r="I1069" s="4">
        <v>0</v>
      </c>
    </row>
    <row r="1070" spans="1:9" x14ac:dyDescent="0.2">
      <c r="A1070" s="2">
        <v>19</v>
      </c>
      <c r="B1070" s="1" t="s">
        <v>128</v>
      </c>
      <c r="C1070" s="4">
        <v>10</v>
      </c>
      <c r="D1070" s="8">
        <v>1.72</v>
      </c>
      <c r="E1070" s="4">
        <v>5</v>
      </c>
      <c r="F1070" s="8">
        <v>1.92</v>
      </c>
      <c r="G1070" s="4">
        <v>5</v>
      </c>
      <c r="H1070" s="8">
        <v>1.57</v>
      </c>
      <c r="I1070" s="4">
        <v>0</v>
      </c>
    </row>
    <row r="1071" spans="1:9" x14ac:dyDescent="0.2">
      <c r="A1071" s="2">
        <v>19</v>
      </c>
      <c r="B1071" s="1" t="s">
        <v>129</v>
      </c>
      <c r="C1071" s="4">
        <v>10</v>
      </c>
      <c r="D1071" s="8">
        <v>1.72</v>
      </c>
      <c r="E1071" s="4">
        <v>3</v>
      </c>
      <c r="F1071" s="8">
        <v>1.1499999999999999</v>
      </c>
      <c r="G1071" s="4">
        <v>7</v>
      </c>
      <c r="H1071" s="8">
        <v>2.2000000000000002</v>
      </c>
      <c r="I1071" s="4">
        <v>0</v>
      </c>
    </row>
    <row r="1072" spans="1:9" x14ac:dyDescent="0.2">
      <c r="A1072" s="2">
        <v>19</v>
      </c>
      <c r="B1072" s="1" t="s">
        <v>138</v>
      </c>
      <c r="C1072" s="4">
        <v>10</v>
      </c>
      <c r="D1072" s="8">
        <v>1.72</v>
      </c>
      <c r="E1072" s="4">
        <v>10</v>
      </c>
      <c r="F1072" s="8">
        <v>3.85</v>
      </c>
      <c r="G1072" s="4">
        <v>0</v>
      </c>
      <c r="H1072" s="8">
        <v>0</v>
      </c>
      <c r="I1072" s="4">
        <v>0</v>
      </c>
    </row>
    <row r="1073" spans="1:9" x14ac:dyDescent="0.2">
      <c r="A1073" s="2">
        <v>19</v>
      </c>
      <c r="B1073" s="1" t="s">
        <v>101</v>
      </c>
      <c r="C1073" s="4">
        <v>10</v>
      </c>
      <c r="D1073" s="8">
        <v>1.72</v>
      </c>
      <c r="E1073" s="4">
        <v>0</v>
      </c>
      <c r="F1073" s="8">
        <v>0</v>
      </c>
      <c r="G1073" s="4">
        <v>10</v>
      </c>
      <c r="H1073" s="8">
        <v>3.14</v>
      </c>
      <c r="I1073" s="4">
        <v>0</v>
      </c>
    </row>
    <row r="1074" spans="1:9" x14ac:dyDescent="0.2">
      <c r="A1074" s="1"/>
      <c r="C1074" s="4"/>
      <c r="D1074" s="8"/>
      <c r="E1074" s="4"/>
      <c r="F1074" s="8"/>
      <c r="G1074" s="4"/>
      <c r="H1074" s="8"/>
      <c r="I1074" s="4"/>
    </row>
    <row r="1075" spans="1:9" x14ac:dyDescent="0.2">
      <c r="A1075" s="1" t="s">
        <v>48</v>
      </c>
      <c r="C1075" s="4"/>
      <c r="D1075" s="8"/>
      <c r="E1075" s="4"/>
      <c r="F1075" s="8"/>
      <c r="G1075" s="4"/>
      <c r="H1075" s="8"/>
      <c r="I1075" s="4"/>
    </row>
    <row r="1076" spans="1:9" x14ac:dyDescent="0.2">
      <c r="A1076" s="2">
        <v>1</v>
      </c>
      <c r="B1076" s="1" t="s">
        <v>109</v>
      </c>
      <c r="C1076" s="4">
        <v>41</v>
      </c>
      <c r="D1076" s="8">
        <v>8.32</v>
      </c>
      <c r="E1076" s="4">
        <v>2</v>
      </c>
      <c r="F1076" s="8">
        <v>1.23</v>
      </c>
      <c r="G1076" s="4">
        <v>39</v>
      </c>
      <c r="H1076" s="8">
        <v>11.85</v>
      </c>
      <c r="I1076" s="4">
        <v>0</v>
      </c>
    </row>
    <row r="1077" spans="1:9" x14ac:dyDescent="0.2">
      <c r="A1077" s="2">
        <v>2</v>
      </c>
      <c r="B1077" s="1" t="s">
        <v>98</v>
      </c>
      <c r="C1077" s="4">
        <v>35</v>
      </c>
      <c r="D1077" s="8">
        <v>7.1</v>
      </c>
      <c r="E1077" s="4">
        <v>3</v>
      </c>
      <c r="F1077" s="8">
        <v>1.84</v>
      </c>
      <c r="G1077" s="4">
        <v>32</v>
      </c>
      <c r="H1077" s="8">
        <v>9.73</v>
      </c>
      <c r="I1077" s="4">
        <v>0</v>
      </c>
    </row>
    <row r="1078" spans="1:9" x14ac:dyDescent="0.2">
      <c r="A1078" s="2">
        <v>2</v>
      </c>
      <c r="B1078" s="1" t="s">
        <v>107</v>
      </c>
      <c r="C1078" s="4">
        <v>35</v>
      </c>
      <c r="D1078" s="8">
        <v>7.1</v>
      </c>
      <c r="E1078" s="4">
        <v>13</v>
      </c>
      <c r="F1078" s="8">
        <v>7.98</v>
      </c>
      <c r="G1078" s="4">
        <v>22</v>
      </c>
      <c r="H1078" s="8">
        <v>6.69</v>
      </c>
      <c r="I1078" s="4">
        <v>0</v>
      </c>
    </row>
    <row r="1079" spans="1:9" x14ac:dyDescent="0.2">
      <c r="A1079" s="2">
        <v>4</v>
      </c>
      <c r="B1079" s="1" t="s">
        <v>113</v>
      </c>
      <c r="C1079" s="4">
        <v>32</v>
      </c>
      <c r="D1079" s="8">
        <v>6.49</v>
      </c>
      <c r="E1079" s="4">
        <v>24</v>
      </c>
      <c r="F1079" s="8">
        <v>14.72</v>
      </c>
      <c r="G1079" s="4">
        <v>8</v>
      </c>
      <c r="H1079" s="8">
        <v>2.4300000000000002</v>
      </c>
      <c r="I1079" s="4">
        <v>0</v>
      </c>
    </row>
    <row r="1080" spans="1:9" x14ac:dyDescent="0.2">
      <c r="A1080" s="2">
        <v>5</v>
      </c>
      <c r="B1080" s="1" t="s">
        <v>99</v>
      </c>
      <c r="C1080" s="4">
        <v>23</v>
      </c>
      <c r="D1080" s="8">
        <v>4.67</v>
      </c>
      <c r="E1080" s="4">
        <v>7</v>
      </c>
      <c r="F1080" s="8">
        <v>4.29</v>
      </c>
      <c r="G1080" s="4">
        <v>16</v>
      </c>
      <c r="H1080" s="8">
        <v>4.8600000000000003</v>
      </c>
      <c r="I1080" s="4">
        <v>0</v>
      </c>
    </row>
    <row r="1081" spans="1:9" x14ac:dyDescent="0.2">
      <c r="A1081" s="2">
        <v>6</v>
      </c>
      <c r="B1081" s="1" t="s">
        <v>100</v>
      </c>
      <c r="C1081" s="4">
        <v>22</v>
      </c>
      <c r="D1081" s="8">
        <v>4.46</v>
      </c>
      <c r="E1081" s="4">
        <v>2</v>
      </c>
      <c r="F1081" s="8">
        <v>1.23</v>
      </c>
      <c r="G1081" s="4">
        <v>20</v>
      </c>
      <c r="H1081" s="8">
        <v>6.08</v>
      </c>
      <c r="I1081" s="4">
        <v>0</v>
      </c>
    </row>
    <row r="1082" spans="1:9" x14ac:dyDescent="0.2">
      <c r="A1082" s="2">
        <v>6</v>
      </c>
      <c r="B1082" s="1" t="s">
        <v>105</v>
      </c>
      <c r="C1082" s="4">
        <v>22</v>
      </c>
      <c r="D1082" s="8">
        <v>4.46</v>
      </c>
      <c r="E1082" s="4">
        <v>17</v>
      </c>
      <c r="F1082" s="8">
        <v>10.43</v>
      </c>
      <c r="G1082" s="4">
        <v>5</v>
      </c>
      <c r="H1082" s="8">
        <v>1.52</v>
      </c>
      <c r="I1082" s="4">
        <v>0</v>
      </c>
    </row>
    <row r="1083" spans="1:9" x14ac:dyDescent="0.2">
      <c r="A1083" s="2">
        <v>8</v>
      </c>
      <c r="B1083" s="1" t="s">
        <v>112</v>
      </c>
      <c r="C1083" s="4">
        <v>21</v>
      </c>
      <c r="D1083" s="8">
        <v>4.26</v>
      </c>
      <c r="E1083" s="4">
        <v>15</v>
      </c>
      <c r="F1083" s="8">
        <v>9.1999999999999993</v>
      </c>
      <c r="G1083" s="4">
        <v>6</v>
      </c>
      <c r="H1083" s="8">
        <v>1.82</v>
      </c>
      <c r="I1083" s="4">
        <v>0</v>
      </c>
    </row>
    <row r="1084" spans="1:9" x14ac:dyDescent="0.2">
      <c r="A1084" s="2">
        <v>9</v>
      </c>
      <c r="B1084" s="1" t="s">
        <v>106</v>
      </c>
      <c r="C1084" s="4">
        <v>20</v>
      </c>
      <c r="D1084" s="8">
        <v>4.0599999999999996</v>
      </c>
      <c r="E1084" s="4">
        <v>12</v>
      </c>
      <c r="F1084" s="8">
        <v>7.36</v>
      </c>
      <c r="G1084" s="4">
        <v>8</v>
      </c>
      <c r="H1084" s="8">
        <v>2.4300000000000002</v>
      </c>
      <c r="I1084" s="4">
        <v>0</v>
      </c>
    </row>
    <row r="1085" spans="1:9" x14ac:dyDescent="0.2">
      <c r="A1085" s="2">
        <v>10</v>
      </c>
      <c r="B1085" s="1" t="s">
        <v>101</v>
      </c>
      <c r="C1085" s="4">
        <v>16</v>
      </c>
      <c r="D1085" s="8">
        <v>3.25</v>
      </c>
      <c r="E1085" s="4">
        <v>3</v>
      </c>
      <c r="F1085" s="8">
        <v>1.84</v>
      </c>
      <c r="G1085" s="4">
        <v>13</v>
      </c>
      <c r="H1085" s="8">
        <v>3.95</v>
      </c>
      <c r="I1085" s="4">
        <v>0</v>
      </c>
    </row>
    <row r="1086" spans="1:9" x14ac:dyDescent="0.2">
      <c r="A1086" s="2">
        <v>11</v>
      </c>
      <c r="B1086" s="1" t="s">
        <v>114</v>
      </c>
      <c r="C1086" s="4">
        <v>14</v>
      </c>
      <c r="D1086" s="8">
        <v>2.84</v>
      </c>
      <c r="E1086" s="4">
        <v>11</v>
      </c>
      <c r="F1086" s="8">
        <v>6.75</v>
      </c>
      <c r="G1086" s="4">
        <v>3</v>
      </c>
      <c r="H1086" s="8">
        <v>0.91</v>
      </c>
      <c r="I1086" s="4">
        <v>0</v>
      </c>
    </row>
    <row r="1087" spans="1:9" x14ac:dyDescent="0.2">
      <c r="A1087" s="2">
        <v>12</v>
      </c>
      <c r="B1087" s="1" t="s">
        <v>110</v>
      </c>
      <c r="C1087" s="4">
        <v>12</v>
      </c>
      <c r="D1087" s="8">
        <v>2.4300000000000002</v>
      </c>
      <c r="E1087" s="4">
        <v>4</v>
      </c>
      <c r="F1087" s="8">
        <v>2.4500000000000002</v>
      </c>
      <c r="G1087" s="4">
        <v>8</v>
      </c>
      <c r="H1087" s="8">
        <v>2.4300000000000002</v>
      </c>
      <c r="I1087" s="4">
        <v>0</v>
      </c>
    </row>
    <row r="1088" spans="1:9" x14ac:dyDescent="0.2">
      <c r="A1088" s="2">
        <v>13</v>
      </c>
      <c r="B1088" s="1" t="s">
        <v>115</v>
      </c>
      <c r="C1088" s="4">
        <v>11</v>
      </c>
      <c r="D1088" s="8">
        <v>2.23</v>
      </c>
      <c r="E1088" s="4">
        <v>9</v>
      </c>
      <c r="F1088" s="8">
        <v>5.52</v>
      </c>
      <c r="G1088" s="4">
        <v>2</v>
      </c>
      <c r="H1088" s="8">
        <v>0.61</v>
      </c>
      <c r="I1088" s="4">
        <v>0</v>
      </c>
    </row>
    <row r="1089" spans="1:9" x14ac:dyDescent="0.2">
      <c r="A1089" s="2">
        <v>14</v>
      </c>
      <c r="B1089" s="1" t="s">
        <v>137</v>
      </c>
      <c r="C1089" s="4">
        <v>10</v>
      </c>
      <c r="D1089" s="8">
        <v>2.0299999999999998</v>
      </c>
      <c r="E1089" s="4">
        <v>0</v>
      </c>
      <c r="F1089" s="8">
        <v>0</v>
      </c>
      <c r="G1089" s="4">
        <v>10</v>
      </c>
      <c r="H1089" s="8">
        <v>3.04</v>
      </c>
      <c r="I1089" s="4">
        <v>0</v>
      </c>
    </row>
    <row r="1090" spans="1:9" x14ac:dyDescent="0.2">
      <c r="A1090" s="2">
        <v>14</v>
      </c>
      <c r="B1090" s="1" t="s">
        <v>139</v>
      </c>
      <c r="C1090" s="4">
        <v>10</v>
      </c>
      <c r="D1090" s="8">
        <v>2.0299999999999998</v>
      </c>
      <c r="E1090" s="4">
        <v>4</v>
      </c>
      <c r="F1090" s="8">
        <v>2.4500000000000002</v>
      </c>
      <c r="G1090" s="4">
        <v>6</v>
      </c>
      <c r="H1090" s="8">
        <v>1.82</v>
      </c>
      <c r="I1090" s="4">
        <v>0</v>
      </c>
    </row>
    <row r="1091" spans="1:9" x14ac:dyDescent="0.2">
      <c r="A1091" s="2">
        <v>16</v>
      </c>
      <c r="B1091" s="1" t="s">
        <v>126</v>
      </c>
      <c r="C1091" s="4">
        <v>9</v>
      </c>
      <c r="D1091" s="8">
        <v>1.83</v>
      </c>
      <c r="E1091" s="4">
        <v>2</v>
      </c>
      <c r="F1091" s="8">
        <v>1.23</v>
      </c>
      <c r="G1091" s="4">
        <v>7</v>
      </c>
      <c r="H1091" s="8">
        <v>2.13</v>
      </c>
      <c r="I1091" s="4">
        <v>0</v>
      </c>
    </row>
    <row r="1092" spans="1:9" x14ac:dyDescent="0.2">
      <c r="A1092" s="2">
        <v>16</v>
      </c>
      <c r="B1092" s="1" t="s">
        <v>108</v>
      </c>
      <c r="C1092" s="4">
        <v>9</v>
      </c>
      <c r="D1092" s="8">
        <v>1.83</v>
      </c>
      <c r="E1092" s="4">
        <v>0</v>
      </c>
      <c r="F1092" s="8">
        <v>0</v>
      </c>
      <c r="G1092" s="4">
        <v>9</v>
      </c>
      <c r="H1092" s="8">
        <v>2.74</v>
      </c>
      <c r="I1092" s="4">
        <v>0</v>
      </c>
    </row>
    <row r="1093" spans="1:9" x14ac:dyDescent="0.2">
      <c r="A1093" s="2">
        <v>16</v>
      </c>
      <c r="B1093" s="1" t="s">
        <v>118</v>
      </c>
      <c r="C1093" s="4">
        <v>9</v>
      </c>
      <c r="D1093" s="8">
        <v>1.83</v>
      </c>
      <c r="E1093" s="4">
        <v>0</v>
      </c>
      <c r="F1093" s="8">
        <v>0</v>
      </c>
      <c r="G1093" s="4">
        <v>9</v>
      </c>
      <c r="H1093" s="8">
        <v>2.74</v>
      </c>
      <c r="I1093" s="4">
        <v>0</v>
      </c>
    </row>
    <row r="1094" spans="1:9" x14ac:dyDescent="0.2">
      <c r="A1094" s="2">
        <v>16</v>
      </c>
      <c r="B1094" s="1" t="s">
        <v>116</v>
      </c>
      <c r="C1094" s="4">
        <v>9</v>
      </c>
      <c r="D1094" s="8">
        <v>1.83</v>
      </c>
      <c r="E1094" s="4">
        <v>2</v>
      </c>
      <c r="F1094" s="8">
        <v>1.23</v>
      </c>
      <c r="G1094" s="4">
        <v>7</v>
      </c>
      <c r="H1094" s="8">
        <v>2.13</v>
      </c>
      <c r="I1094" s="4">
        <v>0</v>
      </c>
    </row>
    <row r="1095" spans="1:9" x14ac:dyDescent="0.2">
      <c r="A1095" s="2">
        <v>20</v>
      </c>
      <c r="B1095" s="1" t="s">
        <v>123</v>
      </c>
      <c r="C1095" s="4">
        <v>8</v>
      </c>
      <c r="D1095" s="8">
        <v>1.62</v>
      </c>
      <c r="E1095" s="4">
        <v>5</v>
      </c>
      <c r="F1095" s="8">
        <v>3.07</v>
      </c>
      <c r="G1095" s="4">
        <v>3</v>
      </c>
      <c r="H1095" s="8">
        <v>0.91</v>
      </c>
      <c r="I1095" s="4">
        <v>0</v>
      </c>
    </row>
    <row r="1096" spans="1:9" x14ac:dyDescent="0.2">
      <c r="A1096" s="1"/>
      <c r="C1096" s="4"/>
      <c r="D1096" s="8"/>
      <c r="E1096" s="4"/>
      <c r="F1096" s="8"/>
      <c r="G1096" s="4"/>
      <c r="H1096" s="8"/>
      <c r="I1096" s="4"/>
    </row>
    <row r="1097" spans="1:9" x14ac:dyDescent="0.2">
      <c r="A1097" s="1" t="s">
        <v>49</v>
      </c>
      <c r="C1097" s="4"/>
      <c r="D1097" s="8"/>
      <c r="E1097" s="4"/>
      <c r="F1097" s="8"/>
      <c r="G1097" s="4"/>
      <c r="H1097" s="8"/>
      <c r="I1097" s="4"/>
    </row>
    <row r="1098" spans="1:9" x14ac:dyDescent="0.2">
      <c r="A1098" s="2">
        <v>1</v>
      </c>
      <c r="B1098" s="1" t="s">
        <v>112</v>
      </c>
      <c r="C1098" s="4">
        <v>20</v>
      </c>
      <c r="D1098" s="8">
        <v>9.85</v>
      </c>
      <c r="E1098" s="4">
        <v>12</v>
      </c>
      <c r="F1098" s="8">
        <v>16</v>
      </c>
      <c r="G1098" s="4">
        <v>8</v>
      </c>
      <c r="H1098" s="8">
        <v>6.35</v>
      </c>
      <c r="I1098" s="4">
        <v>0</v>
      </c>
    </row>
    <row r="1099" spans="1:9" x14ac:dyDescent="0.2">
      <c r="A1099" s="2">
        <v>2</v>
      </c>
      <c r="B1099" s="1" t="s">
        <v>98</v>
      </c>
      <c r="C1099" s="4">
        <v>17</v>
      </c>
      <c r="D1099" s="8">
        <v>8.3699999999999992</v>
      </c>
      <c r="E1099" s="4">
        <v>3</v>
      </c>
      <c r="F1099" s="8">
        <v>4</v>
      </c>
      <c r="G1099" s="4">
        <v>14</v>
      </c>
      <c r="H1099" s="8">
        <v>11.11</v>
      </c>
      <c r="I1099" s="4">
        <v>0</v>
      </c>
    </row>
    <row r="1100" spans="1:9" x14ac:dyDescent="0.2">
      <c r="A1100" s="2">
        <v>3</v>
      </c>
      <c r="B1100" s="1" t="s">
        <v>106</v>
      </c>
      <c r="C1100" s="4">
        <v>14</v>
      </c>
      <c r="D1100" s="8">
        <v>6.9</v>
      </c>
      <c r="E1100" s="4">
        <v>5</v>
      </c>
      <c r="F1100" s="8">
        <v>6.67</v>
      </c>
      <c r="G1100" s="4">
        <v>9</v>
      </c>
      <c r="H1100" s="8">
        <v>7.14</v>
      </c>
      <c r="I1100" s="4">
        <v>0</v>
      </c>
    </row>
    <row r="1101" spans="1:9" x14ac:dyDescent="0.2">
      <c r="A1101" s="2">
        <v>3</v>
      </c>
      <c r="B1101" s="1" t="s">
        <v>107</v>
      </c>
      <c r="C1101" s="4">
        <v>14</v>
      </c>
      <c r="D1101" s="8">
        <v>6.9</v>
      </c>
      <c r="E1101" s="4">
        <v>3</v>
      </c>
      <c r="F1101" s="8">
        <v>4</v>
      </c>
      <c r="G1101" s="4">
        <v>11</v>
      </c>
      <c r="H1101" s="8">
        <v>8.73</v>
      </c>
      <c r="I1101" s="4">
        <v>0</v>
      </c>
    </row>
    <row r="1102" spans="1:9" x14ac:dyDescent="0.2">
      <c r="A1102" s="2">
        <v>5</v>
      </c>
      <c r="B1102" s="1" t="s">
        <v>105</v>
      </c>
      <c r="C1102" s="4">
        <v>12</v>
      </c>
      <c r="D1102" s="8">
        <v>5.91</v>
      </c>
      <c r="E1102" s="4">
        <v>10</v>
      </c>
      <c r="F1102" s="8">
        <v>13.33</v>
      </c>
      <c r="G1102" s="4">
        <v>2</v>
      </c>
      <c r="H1102" s="8">
        <v>1.59</v>
      </c>
      <c r="I1102" s="4">
        <v>0</v>
      </c>
    </row>
    <row r="1103" spans="1:9" x14ac:dyDescent="0.2">
      <c r="A1103" s="2">
        <v>6</v>
      </c>
      <c r="B1103" s="1" t="s">
        <v>99</v>
      </c>
      <c r="C1103" s="4">
        <v>11</v>
      </c>
      <c r="D1103" s="8">
        <v>5.42</v>
      </c>
      <c r="E1103" s="4">
        <v>3</v>
      </c>
      <c r="F1103" s="8">
        <v>4</v>
      </c>
      <c r="G1103" s="4">
        <v>8</v>
      </c>
      <c r="H1103" s="8">
        <v>6.35</v>
      </c>
      <c r="I1103" s="4">
        <v>0</v>
      </c>
    </row>
    <row r="1104" spans="1:9" x14ac:dyDescent="0.2">
      <c r="A1104" s="2">
        <v>7</v>
      </c>
      <c r="B1104" s="1" t="s">
        <v>100</v>
      </c>
      <c r="C1104" s="4">
        <v>10</v>
      </c>
      <c r="D1104" s="8">
        <v>4.93</v>
      </c>
      <c r="E1104" s="4">
        <v>5</v>
      </c>
      <c r="F1104" s="8">
        <v>6.67</v>
      </c>
      <c r="G1104" s="4">
        <v>5</v>
      </c>
      <c r="H1104" s="8">
        <v>3.97</v>
      </c>
      <c r="I1104" s="4">
        <v>0</v>
      </c>
    </row>
    <row r="1105" spans="1:9" x14ac:dyDescent="0.2">
      <c r="A1105" s="2">
        <v>8</v>
      </c>
      <c r="B1105" s="1" t="s">
        <v>101</v>
      </c>
      <c r="C1105" s="4">
        <v>6</v>
      </c>
      <c r="D1105" s="8">
        <v>2.96</v>
      </c>
      <c r="E1105" s="4">
        <v>0</v>
      </c>
      <c r="F1105" s="8">
        <v>0</v>
      </c>
      <c r="G1105" s="4">
        <v>6</v>
      </c>
      <c r="H1105" s="8">
        <v>4.76</v>
      </c>
      <c r="I1105" s="4">
        <v>0</v>
      </c>
    </row>
    <row r="1106" spans="1:9" x14ac:dyDescent="0.2">
      <c r="A1106" s="2">
        <v>8</v>
      </c>
      <c r="B1106" s="1" t="s">
        <v>104</v>
      </c>
      <c r="C1106" s="4">
        <v>6</v>
      </c>
      <c r="D1106" s="8">
        <v>2.96</v>
      </c>
      <c r="E1106" s="4">
        <v>1</v>
      </c>
      <c r="F1106" s="8">
        <v>1.33</v>
      </c>
      <c r="G1106" s="4">
        <v>5</v>
      </c>
      <c r="H1106" s="8">
        <v>3.97</v>
      </c>
      <c r="I1106" s="4">
        <v>0</v>
      </c>
    </row>
    <row r="1107" spans="1:9" x14ac:dyDescent="0.2">
      <c r="A1107" s="2">
        <v>8</v>
      </c>
      <c r="B1107" s="1" t="s">
        <v>113</v>
      </c>
      <c r="C1107" s="4">
        <v>6</v>
      </c>
      <c r="D1107" s="8">
        <v>2.96</v>
      </c>
      <c r="E1107" s="4">
        <v>4</v>
      </c>
      <c r="F1107" s="8">
        <v>5.33</v>
      </c>
      <c r="G1107" s="4">
        <v>2</v>
      </c>
      <c r="H1107" s="8">
        <v>1.59</v>
      </c>
      <c r="I1107" s="4">
        <v>0</v>
      </c>
    </row>
    <row r="1108" spans="1:9" x14ac:dyDescent="0.2">
      <c r="A1108" s="2">
        <v>8</v>
      </c>
      <c r="B1108" s="1" t="s">
        <v>115</v>
      </c>
      <c r="C1108" s="4">
        <v>6</v>
      </c>
      <c r="D1108" s="8">
        <v>2.96</v>
      </c>
      <c r="E1108" s="4">
        <v>6</v>
      </c>
      <c r="F1108" s="8">
        <v>8</v>
      </c>
      <c r="G1108" s="4">
        <v>0</v>
      </c>
      <c r="H1108" s="8">
        <v>0</v>
      </c>
      <c r="I1108" s="4">
        <v>0</v>
      </c>
    </row>
    <row r="1109" spans="1:9" x14ac:dyDescent="0.2">
      <c r="A1109" s="2">
        <v>8</v>
      </c>
      <c r="B1109" s="1" t="s">
        <v>123</v>
      </c>
      <c r="C1109" s="4">
        <v>6</v>
      </c>
      <c r="D1109" s="8">
        <v>2.96</v>
      </c>
      <c r="E1109" s="4">
        <v>5</v>
      </c>
      <c r="F1109" s="8">
        <v>6.67</v>
      </c>
      <c r="G1109" s="4">
        <v>1</v>
      </c>
      <c r="H1109" s="8">
        <v>0.79</v>
      </c>
      <c r="I1109" s="4">
        <v>0</v>
      </c>
    </row>
    <row r="1110" spans="1:9" x14ac:dyDescent="0.2">
      <c r="A1110" s="2">
        <v>13</v>
      </c>
      <c r="B1110" s="1" t="s">
        <v>103</v>
      </c>
      <c r="C1110" s="4">
        <v>5</v>
      </c>
      <c r="D1110" s="8">
        <v>2.46</v>
      </c>
      <c r="E1110" s="4">
        <v>0</v>
      </c>
      <c r="F1110" s="8">
        <v>0</v>
      </c>
      <c r="G1110" s="4">
        <v>5</v>
      </c>
      <c r="H1110" s="8">
        <v>3.97</v>
      </c>
      <c r="I1110" s="4">
        <v>0</v>
      </c>
    </row>
    <row r="1111" spans="1:9" x14ac:dyDescent="0.2">
      <c r="A1111" s="2">
        <v>13</v>
      </c>
      <c r="B1111" s="1" t="s">
        <v>109</v>
      </c>
      <c r="C1111" s="4">
        <v>5</v>
      </c>
      <c r="D1111" s="8">
        <v>2.46</v>
      </c>
      <c r="E1111" s="4">
        <v>1</v>
      </c>
      <c r="F1111" s="8">
        <v>1.33</v>
      </c>
      <c r="G1111" s="4">
        <v>4</v>
      </c>
      <c r="H1111" s="8">
        <v>3.17</v>
      </c>
      <c r="I1111" s="4">
        <v>0</v>
      </c>
    </row>
    <row r="1112" spans="1:9" x14ac:dyDescent="0.2">
      <c r="A1112" s="2">
        <v>15</v>
      </c>
      <c r="B1112" s="1" t="s">
        <v>130</v>
      </c>
      <c r="C1112" s="4">
        <v>4</v>
      </c>
      <c r="D1112" s="8">
        <v>1.97</v>
      </c>
      <c r="E1112" s="4">
        <v>1</v>
      </c>
      <c r="F1112" s="8">
        <v>1.33</v>
      </c>
      <c r="G1112" s="4">
        <v>3</v>
      </c>
      <c r="H1112" s="8">
        <v>2.38</v>
      </c>
      <c r="I1112" s="4">
        <v>0</v>
      </c>
    </row>
    <row r="1113" spans="1:9" x14ac:dyDescent="0.2">
      <c r="A1113" s="2">
        <v>15</v>
      </c>
      <c r="B1113" s="1" t="s">
        <v>137</v>
      </c>
      <c r="C1113" s="4">
        <v>4</v>
      </c>
      <c r="D1113" s="8">
        <v>1.97</v>
      </c>
      <c r="E1113" s="4">
        <v>1</v>
      </c>
      <c r="F1113" s="8">
        <v>1.33</v>
      </c>
      <c r="G1113" s="4">
        <v>3</v>
      </c>
      <c r="H1113" s="8">
        <v>2.38</v>
      </c>
      <c r="I1113" s="4">
        <v>0</v>
      </c>
    </row>
    <row r="1114" spans="1:9" x14ac:dyDescent="0.2">
      <c r="A1114" s="2">
        <v>15</v>
      </c>
      <c r="B1114" s="1" t="s">
        <v>102</v>
      </c>
      <c r="C1114" s="4">
        <v>4</v>
      </c>
      <c r="D1114" s="8">
        <v>1.97</v>
      </c>
      <c r="E1114" s="4">
        <v>0</v>
      </c>
      <c r="F1114" s="8">
        <v>0</v>
      </c>
      <c r="G1114" s="4">
        <v>4</v>
      </c>
      <c r="H1114" s="8">
        <v>3.17</v>
      </c>
      <c r="I1114" s="4">
        <v>0</v>
      </c>
    </row>
    <row r="1115" spans="1:9" x14ac:dyDescent="0.2">
      <c r="A1115" s="2">
        <v>15</v>
      </c>
      <c r="B1115" s="1" t="s">
        <v>140</v>
      </c>
      <c r="C1115" s="4">
        <v>4</v>
      </c>
      <c r="D1115" s="8">
        <v>1.97</v>
      </c>
      <c r="E1115" s="4">
        <v>0</v>
      </c>
      <c r="F1115" s="8">
        <v>0</v>
      </c>
      <c r="G1115" s="4">
        <v>4</v>
      </c>
      <c r="H1115" s="8">
        <v>3.17</v>
      </c>
      <c r="I1115" s="4">
        <v>0</v>
      </c>
    </row>
    <row r="1116" spans="1:9" x14ac:dyDescent="0.2">
      <c r="A1116" s="2">
        <v>15</v>
      </c>
      <c r="B1116" s="1" t="s">
        <v>118</v>
      </c>
      <c r="C1116" s="4">
        <v>4</v>
      </c>
      <c r="D1116" s="8">
        <v>1.97</v>
      </c>
      <c r="E1116" s="4">
        <v>2</v>
      </c>
      <c r="F1116" s="8">
        <v>2.67</v>
      </c>
      <c r="G1116" s="4">
        <v>2</v>
      </c>
      <c r="H1116" s="8">
        <v>1.59</v>
      </c>
      <c r="I1116" s="4">
        <v>0</v>
      </c>
    </row>
    <row r="1117" spans="1:9" x14ac:dyDescent="0.2">
      <c r="A1117" s="2">
        <v>20</v>
      </c>
      <c r="B1117" s="1" t="s">
        <v>119</v>
      </c>
      <c r="C1117" s="4">
        <v>3</v>
      </c>
      <c r="D1117" s="8">
        <v>1.48</v>
      </c>
      <c r="E1117" s="4">
        <v>1</v>
      </c>
      <c r="F1117" s="8">
        <v>1.33</v>
      </c>
      <c r="G1117" s="4">
        <v>2</v>
      </c>
      <c r="H1117" s="8">
        <v>1.59</v>
      </c>
      <c r="I1117" s="4">
        <v>0</v>
      </c>
    </row>
    <row r="1118" spans="1:9" x14ac:dyDescent="0.2">
      <c r="A1118" s="2">
        <v>20</v>
      </c>
      <c r="B1118" s="1" t="s">
        <v>111</v>
      </c>
      <c r="C1118" s="4">
        <v>3</v>
      </c>
      <c r="D1118" s="8">
        <v>1.48</v>
      </c>
      <c r="E1118" s="4">
        <v>1</v>
      </c>
      <c r="F1118" s="8">
        <v>1.33</v>
      </c>
      <c r="G1118" s="4">
        <v>2</v>
      </c>
      <c r="H1118" s="8">
        <v>1.59</v>
      </c>
      <c r="I1118" s="4">
        <v>0</v>
      </c>
    </row>
    <row r="1119" spans="1:9" x14ac:dyDescent="0.2">
      <c r="A1119" s="2">
        <v>20</v>
      </c>
      <c r="B1119" s="1" t="s">
        <v>127</v>
      </c>
      <c r="C1119" s="4">
        <v>3</v>
      </c>
      <c r="D1119" s="8">
        <v>1.48</v>
      </c>
      <c r="E1119" s="4">
        <v>0</v>
      </c>
      <c r="F1119" s="8">
        <v>0</v>
      </c>
      <c r="G1119" s="4">
        <v>3</v>
      </c>
      <c r="H1119" s="8">
        <v>2.38</v>
      </c>
      <c r="I1119" s="4">
        <v>0</v>
      </c>
    </row>
    <row r="1120" spans="1:9" x14ac:dyDescent="0.2">
      <c r="A1120" s="2">
        <v>20</v>
      </c>
      <c r="B1120" s="1" t="s">
        <v>116</v>
      </c>
      <c r="C1120" s="4">
        <v>3</v>
      </c>
      <c r="D1120" s="8">
        <v>1.48</v>
      </c>
      <c r="E1120" s="4">
        <v>0</v>
      </c>
      <c r="F1120" s="8">
        <v>0</v>
      </c>
      <c r="G1120" s="4">
        <v>1</v>
      </c>
      <c r="H1120" s="8">
        <v>0.79</v>
      </c>
      <c r="I1120" s="4">
        <v>0</v>
      </c>
    </row>
    <row r="1121" spans="1:9" x14ac:dyDescent="0.2">
      <c r="A1121" s="2">
        <v>20</v>
      </c>
      <c r="B1121" s="1" t="s">
        <v>117</v>
      </c>
      <c r="C1121" s="4">
        <v>3</v>
      </c>
      <c r="D1121" s="8">
        <v>1.48</v>
      </c>
      <c r="E1121" s="4">
        <v>0</v>
      </c>
      <c r="F1121" s="8">
        <v>0</v>
      </c>
      <c r="G1121" s="4">
        <v>3</v>
      </c>
      <c r="H1121" s="8">
        <v>2.38</v>
      </c>
      <c r="I1121" s="4">
        <v>0</v>
      </c>
    </row>
    <row r="1122" spans="1:9" x14ac:dyDescent="0.2">
      <c r="A1122" s="1"/>
      <c r="C1122" s="4"/>
      <c r="D1122" s="8"/>
      <c r="E1122" s="4"/>
      <c r="F1122" s="8"/>
      <c r="G1122" s="4"/>
      <c r="H1122" s="8"/>
      <c r="I1122" s="4"/>
    </row>
    <row r="1123" spans="1:9" x14ac:dyDescent="0.2">
      <c r="A1123" s="1" t="s">
        <v>50</v>
      </c>
      <c r="C1123" s="4"/>
      <c r="D1123" s="8"/>
      <c r="E1123" s="4"/>
      <c r="F1123" s="8"/>
      <c r="G1123" s="4"/>
      <c r="H1123" s="8"/>
      <c r="I1123" s="4"/>
    </row>
    <row r="1124" spans="1:9" x14ac:dyDescent="0.2">
      <c r="A1124" s="2">
        <v>1</v>
      </c>
      <c r="B1124" s="1" t="s">
        <v>113</v>
      </c>
      <c r="C1124" s="4">
        <v>63</v>
      </c>
      <c r="D1124" s="8">
        <v>7.27</v>
      </c>
      <c r="E1124" s="4">
        <v>50</v>
      </c>
      <c r="F1124" s="8">
        <v>17.3</v>
      </c>
      <c r="G1124" s="4">
        <v>13</v>
      </c>
      <c r="H1124" s="8">
        <v>2.2599999999999998</v>
      </c>
      <c r="I1124" s="4">
        <v>0</v>
      </c>
    </row>
    <row r="1125" spans="1:9" x14ac:dyDescent="0.2">
      <c r="A1125" s="2">
        <v>2</v>
      </c>
      <c r="B1125" s="1" t="s">
        <v>107</v>
      </c>
      <c r="C1125" s="4">
        <v>56</v>
      </c>
      <c r="D1125" s="8">
        <v>6.46</v>
      </c>
      <c r="E1125" s="4">
        <v>17</v>
      </c>
      <c r="F1125" s="8">
        <v>5.88</v>
      </c>
      <c r="G1125" s="4">
        <v>39</v>
      </c>
      <c r="H1125" s="8">
        <v>6.79</v>
      </c>
      <c r="I1125" s="4">
        <v>0</v>
      </c>
    </row>
    <row r="1126" spans="1:9" x14ac:dyDescent="0.2">
      <c r="A1126" s="2">
        <v>3</v>
      </c>
      <c r="B1126" s="1" t="s">
        <v>109</v>
      </c>
      <c r="C1126" s="4">
        <v>53</v>
      </c>
      <c r="D1126" s="8">
        <v>6.11</v>
      </c>
      <c r="E1126" s="4">
        <v>5</v>
      </c>
      <c r="F1126" s="8">
        <v>1.73</v>
      </c>
      <c r="G1126" s="4">
        <v>48</v>
      </c>
      <c r="H1126" s="8">
        <v>8.36</v>
      </c>
      <c r="I1126" s="4">
        <v>0</v>
      </c>
    </row>
    <row r="1127" spans="1:9" x14ac:dyDescent="0.2">
      <c r="A1127" s="2">
        <v>4</v>
      </c>
      <c r="B1127" s="1" t="s">
        <v>99</v>
      </c>
      <c r="C1127" s="4">
        <v>47</v>
      </c>
      <c r="D1127" s="8">
        <v>5.42</v>
      </c>
      <c r="E1127" s="4">
        <v>8</v>
      </c>
      <c r="F1127" s="8">
        <v>2.77</v>
      </c>
      <c r="G1127" s="4">
        <v>39</v>
      </c>
      <c r="H1127" s="8">
        <v>6.79</v>
      </c>
      <c r="I1127" s="4">
        <v>0</v>
      </c>
    </row>
    <row r="1128" spans="1:9" x14ac:dyDescent="0.2">
      <c r="A1128" s="2">
        <v>5</v>
      </c>
      <c r="B1128" s="1" t="s">
        <v>98</v>
      </c>
      <c r="C1128" s="4">
        <v>46</v>
      </c>
      <c r="D1128" s="8">
        <v>5.31</v>
      </c>
      <c r="E1128" s="4">
        <v>7</v>
      </c>
      <c r="F1128" s="8">
        <v>2.42</v>
      </c>
      <c r="G1128" s="4">
        <v>39</v>
      </c>
      <c r="H1128" s="8">
        <v>6.79</v>
      </c>
      <c r="I1128" s="4">
        <v>0</v>
      </c>
    </row>
    <row r="1129" spans="1:9" x14ac:dyDescent="0.2">
      <c r="A1129" s="2">
        <v>6</v>
      </c>
      <c r="B1129" s="1" t="s">
        <v>112</v>
      </c>
      <c r="C1129" s="4">
        <v>44</v>
      </c>
      <c r="D1129" s="8">
        <v>5.07</v>
      </c>
      <c r="E1129" s="4">
        <v>42</v>
      </c>
      <c r="F1129" s="8">
        <v>14.53</v>
      </c>
      <c r="G1129" s="4">
        <v>2</v>
      </c>
      <c r="H1129" s="8">
        <v>0.35</v>
      </c>
      <c r="I1129" s="4">
        <v>0</v>
      </c>
    </row>
    <row r="1130" spans="1:9" x14ac:dyDescent="0.2">
      <c r="A1130" s="2">
        <v>7</v>
      </c>
      <c r="B1130" s="1" t="s">
        <v>100</v>
      </c>
      <c r="C1130" s="4">
        <v>40</v>
      </c>
      <c r="D1130" s="8">
        <v>4.6100000000000003</v>
      </c>
      <c r="E1130" s="4">
        <v>4</v>
      </c>
      <c r="F1130" s="8">
        <v>1.38</v>
      </c>
      <c r="G1130" s="4">
        <v>36</v>
      </c>
      <c r="H1130" s="8">
        <v>6.27</v>
      </c>
      <c r="I1130" s="4">
        <v>0</v>
      </c>
    </row>
    <row r="1131" spans="1:9" x14ac:dyDescent="0.2">
      <c r="A1131" s="2">
        <v>8</v>
      </c>
      <c r="B1131" s="1" t="s">
        <v>104</v>
      </c>
      <c r="C1131" s="4">
        <v>39</v>
      </c>
      <c r="D1131" s="8">
        <v>4.5</v>
      </c>
      <c r="E1131" s="4">
        <v>5</v>
      </c>
      <c r="F1131" s="8">
        <v>1.73</v>
      </c>
      <c r="G1131" s="4">
        <v>34</v>
      </c>
      <c r="H1131" s="8">
        <v>5.92</v>
      </c>
      <c r="I1131" s="4">
        <v>0</v>
      </c>
    </row>
    <row r="1132" spans="1:9" x14ac:dyDescent="0.2">
      <c r="A1132" s="2">
        <v>9</v>
      </c>
      <c r="B1132" s="1" t="s">
        <v>106</v>
      </c>
      <c r="C1132" s="4">
        <v>32</v>
      </c>
      <c r="D1132" s="8">
        <v>3.69</v>
      </c>
      <c r="E1132" s="4">
        <v>16</v>
      </c>
      <c r="F1132" s="8">
        <v>5.54</v>
      </c>
      <c r="G1132" s="4">
        <v>16</v>
      </c>
      <c r="H1132" s="8">
        <v>2.79</v>
      </c>
      <c r="I1132" s="4">
        <v>0</v>
      </c>
    </row>
    <row r="1133" spans="1:9" x14ac:dyDescent="0.2">
      <c r="A1133" s="2">
        <v>10</v>
      </c>
      <c r="B1133" s="1" t="s">
        <v>110</v>
      </c>
      <c r="C1133" s="4">
        <v>31</v>
      </c>
      <c r="D1133" s="8">
        <v>3.58</v>
      </c>
      <c r="E1133" s="4">
        <v>21</v>
      </c>
      <c r="F1133" s="8">
        <v>7.27</v>
      </c>
      <c r="G1133" s="4">
        <v>10</v>
      </c>
      <c r="H1133" s="8">
        <v>1.74</v>
      </c>
      <c r="I1133" s="4">
        <v>0</v>
      </c>
    </row>
    <row r="1134" spans="1:9" x14ac:dyDescent="0.2">
      <c r="A1134" s="2">
        <v>11</v>
      </c>
      <c r="B1134" s="1" t="s">
        <v>102</v>
      </c>
      <c r="C1134" s="4">
        <v>27</v>
      </c>
      <c r="D1134" s="8">
        <v>3.11</v>
      </c>
      <c r="E1134" s="4">
        <v>6</v>
      </c>
      <c r="F1134" s="8">
        <v>2.08</v>
      </c>
      <c r="G1134" s="4">
        <v>21</v>
      </c>
      <c r="H1134" s="8">
        <v>3.66</v>
      </c>
      <c r="I1134" s="4">
        <v>0</v>
      </c>
    </row>
    <row r="1135" spans="1:9" x14ac:dyDescent="0.2">
      <c r="A1135" s="2">
        <v>12</v>
      </c>
      <c r="B1135" s="1" t="s">
        <v>103</v>
      </c>
      <c r="C1135" s="4">
        <v>25</v>
      </c>
      <c r="D1135" s="8">
        <v>2.88</v>
      </c>
      <c r="E1135" s="4">
        <v>2</v>
      </c>
      <c r="F1135" s="8">
        <v>0.69</v>
      </c>
      <c r="G1135" s="4">
        <v>23</v>
      </c>
      <c r="H1135" s="8">
        <v>4.01</v>
      </c>
      <c r="I1135" s="4">
        <v>0</v>
      </c>
    </row>
    <row r="1136" spans="1:9" x14ac:dyDescent="0.2">
      <c r="A1136" s="2">
        <v>13</v>
      </c>
      <c r="B1136" s="1" t="s">
        <v>101</v>
      </c>
      <c r="C1136" s="4">
        <v>23</v>
      </c>
      <c r="D1136" s="8">
        <v>2.65</v>
      </c>
      <c r="E1136" s="4">
        <v>2</v>
      </c>
      <c r="F1136" s="8">
        <v>0.69</v>
      </c>
      <c r="G1136" s="4">
        <v>21</v>
      </c>
      <c r="H1136" s="8">
        <v>3.66</v>
      </c>
      <c r="I1136" s="4">
        <v>0</v>
      </c>
    </row>
    <row r="1137" spans="1:9" x14ac:dyDescent="0.2">
      <c r="A1137" s="2">
        <v>13</v>
      </c>
      <c r="B1137" s="1" t="s">
        <v>105</v>
      </c>
      <c r="C1137" s="4">
        <v>23</v>
      </c>
      <c r="D1137" s="8">
        <v>2.65</v>
      </c>
      <c r="E1137" s="4">
        <v>12</v>
      </c>
      <c r="F1137" s="8">
        <v>4.1500000000000004</v>
      </c>
      <c r="G1137" s="4">
        <v>11</v>
      </c>
      <c r="H1137" s="8">
        <v>1.92</v>
      </c>
      <c r="I1137" s="4">
        <v>0</v>
      </c>
    </row>
    <row r="1138" spans="1:9" x14ac:dyDescent="0.2">
      <c r="A1138" s="2">
        <v>13</v>
      </c>
      <c r="B1138" s="1" t="s">
        <v>115</v>
      </c>
      <c r="C1138" s="4">
        <v>23</v>
      </c>
      <c r="D1138" s="8">
        <v>2.65</v>
      </c>
      <c r="E1138" s="4">
        <v>19</v>
      </c>
      <c r="F1138" s="8">
        <v>6.57</v>
      </c>
      <c r="G1138" s="4">
        <v>4</v>
      </c>
      <c r="H1138" s="8">
        <v>0.7</v>
      </c>
      <c r="I1138" s="4">
        <v>0</v>
      </c>
    </row>
    <row r="1139" spans="1:9" x14ac:dyDescent="0.2">
      <c r="A1139" s="2">
        <v>16</v>
      </c>
      <c r="B1139" s="1" t="s">
        <v>124</v>
      </c>
      <c r="C1139" s="4">
        <v>22</v>
      </c>
      <c r="D1139" s="8">
        <v>2.54</v>
      </c>
      <c r="E1139" s="4">
        <v>1</v>
      </c>
      <c r="F1139" s="8">
        <v>0.35</v>
      </c>
      <c r="G1139" s="4">
        <v>21</v>
      </c>
      <c r="H1139" s="8">
        <v>3.66</v>
      </c>
      <c r="I1139" s="4">
        <v>0</v>
      </c>
    </row>
    <row r="1140" spans="1:9" x14ac:dyDescent="0.2">
      <c r="A1140" s="2">
        <v>16</v>
      </c>
      <c r="B1140" s="1" t="s">
        <v>114</v>
      </c>
      <c r="C1140" s="4">
        <v>22</v>
      </c>
      <c r="D1140" s="8">
        <v>2.54</v>
      </c>
      <c r="E1140" s="4">
        <v>15</v>
      </c>
      <c r="F1140" s="8">
        <v>5.19</v>
      </c>
      <c r="G1140" s="4">
        <v>6</v>
      </c>
      <c r="H1140" s="8">
        <v>1.05</v>
      </c>
      <c r="I1140" s="4">
        <v>0</v>
      </c>
    </row>
    <row r="1141" spans="1:9" x14ac:dyDescent="0.2">
      <c r="A1141" s="2">
        <v>18</v>
      </c>
      <c r="B1141" s="1" t="s">
        <v>123</v>
      </c>
      <c r="C1141" s="4">
        <v>17</v>
      </c>
      <c r="D1141" s="8">
        <v>1.96</v>
      </c>
      <c r="E1141" s="4">
        <v>6</v>
      </c>
      <c r="F1141" s="8">
        <v>2.08</v>
      </c>
      <c r="G1141" s="4">
        <v>11</v>
      </c>
      <c r="H1141" s="8">
        <v>1.92</v>
      </c>
      <c r="I1141" s="4">
        <v>0</v>
      </c>
    </row>
    <row r="1142" spans="1:9" x14ac:dyDescent="0.2">
      <c r="A1142" s="2">
        <v>19</v>
      </c>
      <c r="B1142" s="1" t="s">
        <v>137</v>
      </c>
      <c r="C1142" s="4">
        <v>14</v>
      </c>
      <c r="D1142" s="8">
        <v>1.61</v>
      </c>
      <c r="E1142" s="4">
        <v>0</v>
      </c>
      <c r="F1142" s="8">
        <v>0</v>
      </c>
      <c r="G1142" s="4">
        <v>14</v>
      </c>
      <c r="H1142" s="8">
        <v>2.44</v>
      </c>
      <c r="I1142" s="4">
        <v>0</v>
      </c>
    </row>
    <row r="1143" spans="1:9" x14ac:dyDescent="0.2">
      <c r="A1143" s="2">
        <v>19</v>
      </c>
      <c r="B1143" s="1" t="s">
        <v>118</v>
      </c>
      <c r="C1143" s="4">
        <v>14</v>
      </c>
      <c r="D1143" s="8">
        <v>1.61</v>
      </c>
      <c r="E1143" s="4">
        <v>6</v>
      </c>
      <c r="F1143" s="8">
        <v>2.08</v>
      </c>
      <c r="G1143" s="4">
        <v>8</v>
      </c>
      <c r="H1143" s="8">
        <v>1.39</v>
      </c>
      <c r="I1143" s="4">
        <v>0</v>
      </c>
    </row>
    <row r="1144" spans="1:9" x14ac:dyDescent="0.2">
      <c r="A1144" s="1"/>
      <c r="C1144" s="4"/>
      <c r="D1144" s="8"/>
      <c r="E1144" s="4"/>
      <c r="F1144" s="8"/>
      <c r="G1144" s="4"/>
      <c r="H1144" s="8"/>
      <c r="I1144" s="4"/>
    </row>
    <row r="1145" spans="1:9" x14ac:dyDescent="0.2">
      <c r="A1145" s="1" t="s">
        <v>51</v>
      </c>
      <c r="C1145" s="4"/>
      <c r="D1145" s="8"/>
      <c r="E1145" s="4"/>
      <c r="F1145" s="8"/>
      <c r="G1145" s="4"/>
      <c r="H1145" s="8"/>
      <c r="I1145" s="4"/>
    </row>
    <row r="1146" spans="1:9" x14ac:dyDescent="0.2">
      <c r="A1146" s="2">
        <v>1</v>
      </c>
      <c r="B1146" s="1" t="s">
        <v>112</v>
      </c>
      <c r="C1146" s="4">
        <v>61</v>
      </c>
      <c r="D1146" s="8">
        <v>18.71</v>
      </c>
      <c r="E1146" s="4">
        <v>56</v>
      </c>
      <c r="F1146" s="8">
        <v>27.32</v>
      </c>
      <c r="G1146" s="4">
        <v>5</v>
      </c>
      <c r="H1146" s="8">
        <v>4.46</v>
      </c>
      <c r="I1146" s="4">
        <v>0</v>
      </c>
    </row>
    <row r="1147" spans="1:9" x14ac:dyDescent="0.2">
      <c r="A1147" s="2">
        <v>2</v>
      </c>
      <c r="B1147" s="1" t="s">
        <v>98</v>
      </c>
      <c r="C1147" s="4">
        <v>34</v>
      </c>
      <c r="D1147" s="8">
        <v>10.43</v>
      </c>
      <c r="E1147" s="4">
        <v>9</v>
      </c>
      <c r="F1147" s="8">
        <v>4.3899999999999997</v>
      </c>
      <c r="G1147" s="4">
        <v>25</v>
      </c>
      <c r="H1147" s="8">
        <v>22.32</v>
      </c>
      <c r="I1147" s="4">
        <v>0</v>
      </c>
    </row>
    <row r="1148" spans="1:9" x14ac:dyDescent="0.2">
      <c r="A1148" s="2">
        <v>2</v>
      </c>
      <c r="B1148" s="1" t="s">
        <v>113</v>
      </c>
      <c r="C1148" s="4">
        <v>34</v>
      </c>
      <c r="D1148" s="8">
        <v>10.43</v>
      </c>
      <c r="E1148" s="4">
        <v>33</v>
      </c>
      <c r="F1148" s="8">
        <v>16.100000000000001</v>
      </c>
      <c r="G1148" s="4">
        <v>1</v>
      </c>
      <c r="H1148" s="8">
        <v>0.89</v>
      </c>
      <c r="I1148" s="4">
        <v>0</v>
      </c>
    </row>
    <row r="1149" spans="1:9" x14ac:dyDescent="0.2">
      <c r="A1149" s="2">
        <v>4</v>
      </c>
      <c r="B1149" s="1" t="s">
        <v>107</v>
      </c>
      <c r="C1149" s="4">
        <v>27</v>
      </c>
      <c r="D1149" s="8">
        <v>8.2799999999999994</v>
      </c>
      <c r="E1149" s="4">
        <v>20</v>
      </c>
      <c r="F1149" s="8">
        <v>9.76</v>
      </c>
      <c r="G1149" s="4">
        <v>7</v>
      </c>
      <c r="H1149" s="8">
        <v>6.25</v>
      </c>
      <c r="I1149" s="4">
        <v>0</v>
      </c>
    </row>
    <row r="1150" spans="1:9" x14ac:dyDescent="0.2">
      <c r="A1150" s="2">
        <v>5</v>
      </c>
      <c r="B1150" s="1" t="s">
        <v>100</v>
      </c>
      <c r="C1150" s="4">
        <v>21</v>
      </c>
      <c r="D1150" s="8">
        <v>6.44</v>
      </c>
      <c r="E1150" s="4">
        <v>7</v>
      </c>
      <c r="F1150" s="8">
        <v>3.41</v>
      </c>
      <c r="G1150" s="4">
        <v>14</v>
      </c>
      <c r="H1150" s="8">
        <v>12.5</v>
      </c>
      <c r="I1150" s="4">
        <v>0</v>
      </c>
    </row>
    <row r="1151" spans="1:9" x14ac:dyDescent="0.2">
      <c r="A1151" s="2">
        <v>6</v>
      </c>
      <c r="B1151" s="1" t="s">
        <v>109</v>
      </c>
      <c r="C1151" s="4">
        <v>18</v>
      </c>
      <c r="D1151" s="8">
        <v>5.52</v>
      </c>
      <c r="E1151" s="4">
        <v>9</v>
      </c>
      <c r="F1151" s="8">
        <v>4.3899999999999997</v>
      </c>
      <c r="G1151" s="4">
        <v>5</v>
      </c>
      <c r="H1151" s="8">
        <v>4.46</v>
      </c>
      <c r="I1151" s="4">
        <v>2</v>
      </c>
    </row>
    <row r="1152" spans="1:9" x14ac:dyDescent="0.2">
      <c r="A1152" s="2">
        <v>7</v>
      </c>
      <c r="B1152" s="1" t="s">
        <v>105</v>
      </c>
      <c r="C1152" s="4">
        <v>17</v>
      </c>
      <c r="D1152" s="8">
        <v>5.21</v>
      </c>
      <c r="E1152" s="4">
        <v>16</v>
      </c>
      <c r="F1152" s="8">
        <v>7.8</v>
      </c>
      <c r="G1152" s="4">
        <v>1</v>
      </c>
      <c r="H1152" s="8">
        <v>0.89</v>
      </c>
      <c r="I1152" s="4">
        <v>0</v>
      </c>
    </row>
    <row r="1153" spans="1:9" x14ac:dyDescent="0.2">
      <c r="A1153" s="2">
        <v>8</v>
      </c>
      <c r="B1153" s="1" t="s">
        <v>106</v>
      </c>
      <c r="C1153" s="4">
        <v>12</v>
      </c>
      <c r="D1153" s="8">
        <v>3.68</v>
      </c>
      <c r="E1153" s="4">
        <v>9</v>
      </c>
      <c r="F1153" s="8">
        <v>4.3899999999999997</v>
      </c>
      <c r="G1153" s="4">
        <v>3</v>
      </c>
      <c r="H1153" s="8">
        <v>2.68</v>
      </c>
      <c r="I1153" s="4">
        <v>0</v>
      </c>
    </row>
    <row r="1154" spans="1:9" x14ac:dyDescent="0.2">
      <c r="A1154" s="2">
        <v>9</v>
      </c>
      <c r="B1154" s="1" t="s">
        <v>116</v>
      </c>
      <c r="C1154" s="4">
        <v>11</v>
      </c>
      <c r="D1154" s="8">
        <v>3.37</v>
      </c>
      <c r="E1154" s="4">
        <v>0</v>
      </c>
      <c r="F1154" s="8">
        <v>0</v>
      </c>
      <c r="G1154" s="4">
        <v>9</v>
      </c>
      <c r="H1154" s="8">
        <v>8.0399999999999991</v>
      </c>
      <c r="I1154" s="4">
        <v>0</v>
      </c>
    </row>
    <row r="1155" spans="1:9" x14ac:dyDescent="0.2">
      <c r="A1155" s="2">
        <v>10</v>
      </c>
      <c r="B1155" s="1" t="s">
        <v>99</v>
      </c>
      <c r="C1155" s="4">
        <v>10</v>
      </c>
      <c r="D1155" s="8">
        <v>3.07</v>
      </c>
      <c r="E1155" s="4">
        <v>5</v>
      </c>
      <c r="F1155" s="8">
        <v>2.44</v>
      </c>
      <c r="G1155" s="4">
        <v>5</v>
      </c>
      <c r="H1155" s="8">
        <v>4.46</v>
      </c>
      <c r="I1155" s="4">
        <v>0</v>
      </c>
    </row>
    <row r="1156" spans="1:9" x14ac:dyDescent="0.2">
      <c r="A1156" s="2">
        <v>11</v>
      </c>
      <c r="B1156" s="1" t="s">
        <v>127</v>
      </c>
      <c r="C1156" s="4">
        <v>6</v>
      </c>
      <c r="D1156" s="8">
        <v>1.84</v>
      </c>
      <c r="E1156" s="4">
        <v>4</v>
      </c>
      <c r="F1156" s="8">
        <v>1.95</v>
      </c>
      <c r="G1156" s="4">
        <v>1</v>
      </c>
      <c r="H1156" s="8">
        <v>0.89</v>
      </c>
      <c r="I1156" s="4">
        <v>0</v>
      </c>
    </row>
    <row r="1157" spans="1:9" x14ac:dyDescent="0.2">
      <c r="A1157" s="2">
        <v>11</v>
      </c>
      <c r="B1157" s="1" t="s">
        <v>123</v>
      </c>
      <c r="C1157" s="4">
        <v>6</v>
      </c>
      <c r="D1157" s="8">
        <v>1.84</v>
      </c>
      <c r="E1157" s="4">
        <v>5</v>
      </c>
      <c r="F1157" s="8">
        <v>2.44</v>
      </c>
      <c r="G1157" s="4">
        <v>1</v>
      </c>
      <c r="H1157" s="8">
        <v>0.89</v>
      </c>
      <c r="I1157" s="4">
        <v>0</v>
      </c>
    </row>
    <row r="1158" spans="1:9" x14ac:dyDescent="0.2">
      <c r="A1158" s="2">
        <v>13</v>
      </c>
      <c r="B1158" s="1" t="s">
        <v>114</v>
      </c>
      <c r="C1158" s="4">
        <v>5</v>
      </c>
      <c r="D1158" s="8">
        <v>1.53</v>
      </c>
      <c r="E1158" s="4">
        <v>3</v>
      </c>
      <c r="F1158" s="8">
        <v>1.46</v>
      </c>
      <c r="G1158" s="4">
        <v>2</v>
      </c>
      <c r="H1158" s="8">
        <v>1.79</v>
      </c>
      <c r="I1158" s="4">
        <v>0</v>
      </c>
    </row>
    <row r="1159" spans="1:9" x14ac:dyDescent="0.2">
      <c r="A1159" s="2">
        <v>14</v>
      </c>
      <c r="B1159" s="1" t="s">
        <v>130</v>
      </c>
      <c r="C1159" s="4">
        <v>4</v>
      </c>
      <c r="D1159" s="8">
        <v>1.23</v>
      </c>
      <c r="E1159" s="4">
        <v>3</v>
      </c>
      <c r="F1159" s="8">
        <v>1.46</v>
      </c>
      <c r="G1159" s="4">
        <v>1</v>
      </c>
      <c r="H1159" s="8">
        <v>0.89</v>
      </c>
      <c r="I1159" s="4">
        <v>0</v>
      </c>
    </row>
    <row r="1160" spans="1:9" x14ac:dyDescent="0.2">
      <c r="A1160" s="2">
        <v>14</v>
      </c>
      <c r="B1160" s="1" t="s">
        <v>101</v>
      </c>
      <c r="C1160" s="4">
        <v>4</v>
      </c>
      <c r="D1160" s="8">
        <v>1.23</v>
      </c>
      <c r="E1160" s="4">
        <v>2</v>
      </c>
      <c r="F1160" s="8">
        <v>0.98</v>
      </c>
      <c r="G1160" s="4">
        <v>2</v>
      </c>
      <c r="H1160" s="8">
        <v>1.79</v>
      </c>
      <c r="I1160" s="4">
        <v>0</v>
      </c>
    </row>
    <row r="1161" spans="1:9" x14ac:dyDescent="0.2">
      <c r="A1161" s="2">
        <v>14</v>
      </c>
      <c r="B1161" s="1" t="s">
        <v>122</v>
      </c>
      <c r="C1161" s="4">
        <v>4</v>
      </c>
      <c r="D1161" s="8">
        <v>1.23</v>
      </c>
      <c r="E1161" s="4">
        <v>1</v>
      </c>
      <c r="F1161" s="8">
        <v>0.49</v>
      </c>
      <c r="G1161" s="4">
        <v>3</v>
      </c>
      <c r="H1161" s="8">
        <v>2.68</v>
      </c>
      <c r="I1161" s="4">
        <v>0</v>
      </c>
    </row>
    <row r="1162" spans="1:9" x14ac:dyDescent="0.2">
      <c r="A1162" s="2">
        <v>14</v>
      </c>
      <c r="B1162" s="1" t="s">
        <v>118</v>
      </c>
      <c r="C1162" s="4">
        <v>4</v>
      </c>
      <c r="D1162" s="8">
        <v>1.23</v>
      </c>
      <c r="E1162" s="4">
        <v>3</v>
      </c>
      <c r="F1162" s="8">
        <v>1.46</v>
      </c>
      <c r="G1162" s="4">
        <v>1</v>
      </c>
      <c r="H1162" s="8">
        <v>0.89</v>
      </c>
      <c r="I1162" s="4">
        <v>0</v>
      </c>
    </row>
    <row r="1163" spans="1:9" x14ac:dyDescent="0.2">
      <c r="A1163" s="2">
        <v>14</v>
      </c>
      <c r="B1163" s="1" t="s">
        <v>115</v>
      </c>
      <c r="C1163" s="4">
        <v>4</v>
      </c>
      <c r="D1163" s="8">
        <v>1.23</v>
      </c>
      <c r="E1163" s="4">
        <v>4</v>
      </c>
      <c r="F1163" s="8">
        <v>1.95</v>
      </c>
      <c r="G1163" s="4">
        <v>0</v>
      </c>
      <c r="H1163" s="8">
        <v>0</v>
      </c>
      <c r="I1163" s="4">
        <v>0</v>
      </c>
    </row>
    <row r="1164" spans="1:9" x14ac:dyDescent="0.2">
      <c r="A1164" s="2">
        <v>14</v>
      </c>
      <c r="B1164" s="1" t="s">
        <v>139</v>
      </c>
      <c r="C1164" s="4">
        <v>4</v>
      </c>
      <c r="D1164" s="8">
        <v>1.23</v>
      </c>
      <c r="E1164" s="4">
        <v>2</v>
      </c>
      <c r="F1164" s="8">
        <v>0.98</v>
      </c>
      <c r="G1164" s="4">
        <v>2</v>
      </c>
      <c r="H1164" s="8">
        <v>1.79</v>
      </c>
      <c r="I1164" s="4">
        <v>0</v>
      </c>
    </row>
    <row r="1165" spans="1:9" x14ac:dyDescent="0.2">
      <c r="A1165" s="2">
        <v>20</v>
      </c>
      <c r="B1165" s="1" t="s">
        <v>129</v>
      </c>
      <c r="C1165" s="4">
        <v>3</v>
      </c>
      <c r="D1165" s="8">
        <v>0.92</v>
      </c>
      <c r="E1165" s="4">
        <v>1</v>
      </c>
      <c r="F1165" s="8">
        <v>0.49</v>
      </c>
      <c r="G1165" s="4">
        <v>2</v>
      </c>
      <c r="H1165" s="8">
        <v>1.79</v>
      </c>
      <c r="I1165" s="4">
        <v>0</v>
      </c>
    </row>
    <row r="1166" spans="1:9" x14ac:dyDescent="0.2">
      <c r="A1166" s="2">
        <v>20</v>
      </c>
      <c r="B1166" s="1" t="s">
        <v>141</v>
      </c>
      <c r="C1166" s="4">
        <v>3</v>
      </c>
      <c r="D1166" s="8">
        <v>0.92</v>
      </c>
      <c r="E1166" s="4">
        <v>1</v>
      </c>
      <c r="F1166" s="8">
        <v>0.49</v>
      </c>
      <c r="G1166" s="4">
        <v>2</v>
      </c>
      <c r="H1166" s="8">
        <v>1.79</v>
      </c>
      <c r="I1166" s="4">
        <v>0</v>
      </c>
    </row>
    <row r="1167" spans="1:9" x14ac:dyDescent="0.2">
      <c r="A1167" s="2">
        <v>20</v>
      </c>
      <c r="B1167" s="1" t="s">
        <v>104</v>
      </c>
      <c r="C1167" s="4">
        <v>3</v>
      </c>
      <c r="D1167" s="8">
        <v>0.92</v>
      </c>
      <c r="E1167" s="4">
        <v>1</v>
      </c>
      <c r="F1167" s="8">
        <v>0.49</v>
      </c>
      <c r="G1167" s="4">
        <v>2</v>
      </c>
      <c r="H1167" s="8">
        <v>1.79</v>
      </c>
      <c r="I1167" s="4">
        <v>0</v>
      </c>
    </row>
    <row r="1168" spans="1:9" x14ac:dyDescent="0.2">
      <c r="A1168" s="2">
        <v>20</v>
      </c>
      <c r="B1168" s="1" t="s">
        <v>126</v>
      </c>
      <c r="C1168" s="4">
        <v>3</v>
      </c>
      <c r="D1168" s="8">
        <v>0.92</v>
      </c>
      <c r="E1168" s="4">
        <v>0</v>
      </c>
      <c r="F1168" s="8">
        <v>0</v>
      </c>
      <c r="G1168" s="4">
        <v>3</v>
      </c>
      <c r="H1168" s="8">
        <v>2.68</v>
      </c>
      <c r="I1168" s="4">
        <v>0</v>
      </c>
    </row>
    <row r="1169" spans="1:9" x14ac:dyDescent="0.2">
      <c r="A1169" s="2">
        <v>20</v>
      </c>
      <c r="B1169" s="1" t="s">
        <v>108</v>
      </c>
      <c r="C1169" s="4">
        <v>3</v>
      </c>
      <c r="D1169" s="8">
        <v>0.92</v>
      </c>
      <c r="E1169" s="4">
        <v>0</v>
      </c>
      <c r="F1169" s="8">
        <v>0</v>
      </c>
      <c r="G1169" s="4">
        <v>3</v>
      </c>
      <c r="H1169" s="8">
        <v>2.68</v>
      </c>
      <c r="I1169" s="4">
        <v>0</v>
      </c>
    </row>
    <row r="1170" spans="1:9" x14ac:dyDescent="0.2">
      <c r="A1170" s="2">
        <v>20</v>
      </c>
      <c r="B1170" s="1" t="s">
        <v>110</v>
      </c>
      <c r="C1170" s="4">
        <v>3</v>
      </c>
      <c r="D1170" s="8">
        <v>0.92</v>
      </c>
      <c r="E1170" s="4">
        <v>2</v>
      </c>
      <c r="F1170" s="8">
        <v>0.98</v>
      </c>
      <c r="G1170" s="4">
        <v>1</v>
      </c>
      <c r="H1170" s="8">
        <v>0.89</v>
      </c>
      <c r="I1170" s="4">
        <v>0</v>
      </c>
    </row>
    <row r="1171" spans="1:9" x14ac:dyDescent="0.2">
      <c r="A1171" s="1"/>
      <c r="C1171" s="4"/>
      <c r="D1171" s="8"/>
      <c r="E1171" s="4"/>
      <c r="F1171" s="8"/>
      <c r="G1171" s="4"/>
      <c r="H1171" s="8"/>
      <c r="I1171" s="4"/>
    </row>
    <row r="1172" spans="1:9" x14ac:dyDescent="0.2">
      <c r="A1172" s="1" t="s">
        <v>52</v>
      </c>
      <c r="C1172" s="4"/>
      <c r="D1172" s="8"/>
      <c r="E1172" s="4"/>
      <c r="F1172" s="8"/>
      <c r="G1172" s="4"/>
      <c r="H1172" s="8"/>
      <c r="I1172" s="4"/>
    </row>
    <row r="1173" spans="1:9" x14ac:dyDescent="0.2">
      <c r="A1173" s="2">
        <v>1</v>
      </c>
      <c r="B1173" s="1" t="s">
        <v>98</v>
      </c>
      <c r="C1173" s="4">
        <v>65</v>
      </c>
      <c r="D1173" s="8">
        <v>12.67</v>
      </c>
      <c r="E1173" s="4">
        <v>12</v>
      </c>
      <c r="F1173" s="8">
        <v>4.12</v>
      </c>
      <c r="G1173" s="4">
        <v>53</v>
      </c>
      <c r="H1173" s="8">
        <v>24.31</v>
      </c>
      <c r="I1173" s="4">
        <v>0</v>
      </c>
    </row>
    <row r="1174" spans="1:9" x14ac:dyDescent="0.2">
      <c r="A1174" s="2">
        <v>2</v>
      </c>
      <c r="B1174" s="1" t="s">
        <v>113</v>
      </c>
      <c r="C1174" s="4">
        <v>60</v>
      </c>
      <c r="D1174" s="8">
        <v>11.7</v>
      </c>
      <c r="E1174" s="4">
        <v>51</v>
      </c>
      <c r="F1174" s="8">
        <v>17.53</v>
      </c>
      <c r="G1174" s="4">
        <v>9</v>
      </c>
      <c r="H1174" s="8">
        <v>4.13</v>
      </c>
      <c r="I1174" s="4">
        <v>0</v>
      </c>
    </row>
    <row r="1175" spans="1:9" x14ac:dyDescent="0.2">
      <c r="A1175" s="2">
        <v>3</v>
      </c>
      <c r="B1175" s="1" t="s">
        <v>112</v>
      </c>
      <c r="C1175" s="4">
        <v>48</v>
      </c>
      <c r="D1175" s="8">
        <v>9.36</v>
      </c>
      <c r="E1175" s="4">
        <v>45</v>
      </c>
      <c r="F1175" s="8">
        <v>15.46</v>
      </c>
      <c r="G1175" s="4">
        <v>3</v>
      </c>
      <c r="H1175" s="8">
        <v>1.38</v>
      </c>
      <c r="I1175" s="4">
        <v>0</v>
      </c>
    </row>
    <row r="1176" spans="1:9" x14ac:dyDescent="0.2">
      <c r="A1176" s="2">
        <v>4</v>
      </c>
      <c r="B1176" s="1" t="s">
        <v>109</v>
      </c>
      <c r="C1176" s="4">
        <v>29</v>
      </c>
      <c r="D1176" s="8">
        <v>5.65</v>
      </c>
      <c r="E1176" s="4">
        <v>12</v>
      </c>
      <c r="F1176" s="8">
        <v>4.12</v>
      </c>
      <c r="G1176" s="4">
        <v>17</v>
      </c>
      <c r="H1176" s="8">
        <v>7.8</v>
      </c>
      <c r="I1176" s="4">
        <v>0</v>
      </c>
    </row>
    <row r="1177" spans="1:9" x14ac:dyDescent="0.2">
      <c r="A1177" s="2">
        <v>5</v>
      </c>
      <c r="B1177" s="1" t="s">
        <v>99</v>
      </c>
      <c r="C1177" s="4">
        <v>25</v>
      </c>
      <c r="D1177" s="8">
        <v>4.87</v>
      </c>
      <c r="E1177" s="4">
        <v>7</v>
      </c>
      <c r="F1177" s="8">
        <v>2.41</v>
      </c>
      <c r="G1177" s="4">
        <v>18</v>
      </c>
      <c r="H1177" s="8">
        <v>8.26</v>
      </c>
      <c r="I1177" s="4">
        <v>0</v>
      </c>
    </row>
    <row r="1178" spans="1:9" x14ac:dyDescent="0.2">
      <c r="A1178" s="2">
        <v>5</v>
      </c>
      <c r="B1178" s="1" t="s">
        <v>100</v>
      </c>
      <c r="C1178" s="4">
        <v>25</v>
      </c>
      <c r="D1178" s="8">
        <v>4.87</v>
      </c>
      <c r="E1178" s="4">
        <v>5</v>
      </c>
      <c r="F1178" s="8">
        <v>1.72</v>
      </c>
      <c r="G1178" s="4">
        <v>20</v>
      </c>
      <c r="H1178" s="8">
        <v>9.17</v>
      </c>
      <c r="I1178" s="4">
        <v>0</v>
      </c>
    </row>
    <row r="1179" spans="1:9" x14ac:dyDescent="0.2">
      <c r="A1179" s="2">
        <v>7</v>
      </c>
      <c r="B1179" s="1" t="s">
        <v>105</v>
      </c>
      <c r="C1179" s="4">
        <v>24</v>
      </c>
      <c r="D1179" s="8">
        <v>4.68</v>
      </c>
      <c r="E1179" s="4">
        <v>19</v>
      </c>
      <c r="F1179" s="8">
        <v>6.53</v>
      </c>
      <c r="G1179" s="4">
        <v>5</v>
      </c>
      <c r="H1179" s="8">
        <v>2.29</v>
      </c>
      <c r="I1179" s="4">
        <v>0</v>
      </c>
    </row>
    <row r="1180" spans="1:9" x14ac:dyDescent="0.2">
      <c r="A1180" s="2">
        <v>7</v>
      </c>
      <c r="B1180" s="1" t="s">
        <v>106</v>
      </c>
      <c r="C1180" s="4">
        <v>24</v>
      </c>
      <c r="D1180" s="8">
        <v>4.68</v>
      </c>
      <c r="E1180" s="4">
        <v>19</v>
      </c>
      <c r="F1180" s="8">
        <v>6.53</v>
      </c>
      <c r="G1180" s="4">
        <v>5</v>
      </c>
      <c r="H1180" s="8">
        <v>2.29</v>
      </c>
      <c r="I1180" s="4">
        <v>0</v>
      </c>
    </row>
    <row r="1181" spans="1:9" x14ac:dyDescent="0.2">
      <c r="A1181" s="2">
        <v>7</v>
      </c>
      <c r="B1181" s="1" t="s">
        <v>107</v>
      </c>
      <c r="C1181" s="4">
        <v>24</v>
      </c>
      <c r="D1181" s="8">
        <v>4.68</v>
      </c>
      <c r="E1181" s="4">
        <v>14</v>
      </c>
      <c r="F1181" s="8">
        <v>4.8099999999999996</v>
      </c>
      <c r="G1181" s="4">
        <v>10</v>
      </c>
      <c r="H1181" s="8">
        <v>4.59</v>
      </c>
      <c r="I1181" s="4">
        <v>0</v>
      </c>
    </row>
    <row r="1182" spans="1:9" x14ac:dyDescent="0.2">
      <c r="A1182" s="2">
        <v>10</v>
      </c>
      <c r="B1182" s="1" t="s">
        <v>114</v>
      </c>
      <c r="C1182" s="4">
        <v>22</v>
      </c>
      <c r="D1182" s="8">
        <v>4.29</v>
      </c>
      <c r="E1182" s="4">
        <v>19</v>
      </c>
      <c r="F1182" s="8">
        <v>6.53</v>
      </c>
      <c r="G1182" s="4">
        <v>2</v>
      </c>
      <c r="H1182" s="8">
        <v>0.92</v>
      </c>
      <c r="I1182" s="4">
        <v>0</v>
      </c>
    </row>
    <row r="1183" spans="1:9" x14ac:dyDescent="0.2">
      <c r="A1183" s="2">
        <v>11</v>
      </c>
      <c r="B1183" s="1" t="s">
        <v>115</v>
      </c>
      <c r="C1183" s="4">
        <v>20</v>
      </c>
      <c r="D1183" s="8">
        <v>3.9</v>
      </c>
      <c r="E1183" s="4">
        <v>18</v>
      </c>
      <c r="F1183" s="8">
        <v>6.19</v>
      </c>
      <c r="G1183" s="4">
        <v>2</v>
      </c>
      <c r="H1183" s="8">
        <v>0.92</v>
      </c>
      <c r="I1183" s="4">
        <v>0</v>
      </c>
    </row>
    <row r="1184" spans="1:9" x14ac:dyDescent="0.2">
      <c r="A1184" s="2">
        <v>12</v>
      </c>
      <c r="B1184" s="1" t="s">
        <v>123</v>
      </c>
      <c r="C1184" s="4">
        <v>19</v>
      </c>
      <c r="D1184" s="8">
        <v>3.7</v>
      </c>
      <c r="E1184" s="4">
        <v>16</v>
      </c>
      <c r="F1184" s="8">
        <v>5.5</v>
      </c>
      <c r="G1184" s="4">
        <v>3</v>
      </c>
      <c r="H1184" s="8">
        <v>1.38</v>
      </c>
      <c r="I1184" s="4">
        <v>0</v>
      </c>
    </row>
    <row r="1185" spans="1:9" x14ac:dyDescent="0.2">
      <c r="A1185" s="2">
        <v>13</v>
      </c>
      <c r="B1185" s="1" t="s">
        <v>110</v>
      </c>
      <c r="C1185" s="4">
        <v>12</v>
      </c>
      <c r="D1185" s="8">
        <v>2.34</v>
      </c>
      <c r="E1185" s="4">
        <v>8</v>
      </c>
      <c r="F1185" s="8">
        <v>2.75</v>
      </c>
      <c r="G1185" s="4">
        <v>4</v>
      </c>
      <c r="H1185" s="8">
        <v>1.83</v>
      </c>
      <c r="I1185" s="4">
        <v>0</v>
      </c>
    </row>
    <row r="1186" spans="1:9" x14ac:dyDescent="0.2">
      <c r="A1186" s="2">
        <v>13</v>
      </c>
      <c r="B1186" s="1" t="s">
        <v>116</v>
      </c>
      <c r="C1186" s="4">
        <v>12</v>
      </c>
      <c r="D1186" s="8">
        <v>2.34</v>
      </c>
      <c r="E1186" s="4">
        <v>0</v>
      </c>
      <c r="F1186" s="8">
        <v>0</v>
      </c>
      <c r="G1186" s="4">
        <v>10</v>
      </c>
      <c r="H1186" s="8">
        <v>4.59</v>
      </c>
      <c r="I1186" s="4">
        <v>0</v>
      </c>
    </row>
    <row r="1187" spans="1:9" x14ac:dyDescent="0.2">
      <c r="A1187" s="2">
        <v>15</v>
      </c>
      <c r="B1187" s="1" t="s">
        <v>103</v>
      </c>
      <c r="C1187" s="4">
        <v>8</v>
      </c>
      <c r="D1187" s="8">
        <v>1.56</v>
      </c>
      <c r="E1187" s="4">
        <v>2</v>
      </c>
      <c r="F1187" s="8">
        <v>0.69</v>
      </c>
      <c r="G1187" s="4">
        <v>6</v>
      </c>
      <c r="H1187" s="8">
        <v>2.75</v>
      </c>
      <c r="I1187" s="4">
        <v>0</v>
      </c>
    </row>
    <row r="1188" spans="1:9" x14ac:dyDescent="0.2">
      <c r="A1188" s="2">
        <v>15</v>
      </c>
      <c r="B1188" s="1" t="s">
        <v>111</v>
      </c>
      <c r="C1188" s="4">
        <v>8</v>
      </c>
      <c r="D1188" s="8">
        <v>1.56</v>
      </c>
      <c r="E1188" s="4">
        <v>4</v>
      </c>
      <c r="F1188" s="8">
        <v>1.37</v>
      </c>
      <c r="G1188" s="4">
        <v>4</v>
      </c>
      <c r="H1188" s="8">
        <v>1.83</v>
      </c>
      <c r="I1188" s="4">
        <v>0</v>
      </c>
    </row>
    <row r="1189" spans="1:9" x14ac:dyDescent="0.2">
      <c r="A1189" s="2">
        <v>15</v>
      </c>
      <c r="B1189" s="1" t="s">
        <v>118</v>
      </c>
      <c r="C1189" s="4">
        <v>8</v>
      </c>
      <c r="D1189" s="8">
        <v>1.56</v>
      </c>
      <c r="E1189" s="4">
        <v>3</v>
      </c>
      <c r="F1189" s="8">
        <v>1.03</v>
      </c>
      <c r="G1189" s="4">
        <v>5</v>
      </c>
      <c r="H1189" s="8">
        <v>2.29</v>
      </c>
      <c r="I1189" s="4">
        <v>0</v>
      </c>
    </row>
    <row r="1190" spans="1:9" x14ac:dyDescent="0.2">
      <c r="A1190" s="2">
        <v>18</v>
      </c>
      <c r="B1190" s="1" t="s">
        <v>131</v>
      </c>
      <c r="C1190" s="4">
        <v>7</v>
      </c>
      <c r="D1190" s="8">
        <v>1.36</v>
      </c>
      <c r="E1190" s="4">
        <v>4</v>
      </c>
      <c r="F1190" s="8">
        <v>1.37</v>
      </c>
      <c r="G1190" s="4">
        <v>3</v>
      </c>
      <c r="H1190" s="8">
        <v>1.38</v>
      </c>
      <c r="I1190" s="4">
        <v>0</v>
      </c>
    </row>
    <row r="1191" spans="1:9" x14ac:dyDescent="0.2">
      <c r="A1191" s="2">
        <v>18</v>
      </c>
      <c r="B1191" s="1" t="s">
        <v>104</v>
      </c>
      <c r="C1191" s="4">
        <v>7</v>
      </c>
      <c r="D1191" s="8">
        <v>1.36</v>
      </c>
      <c r="E1191" s="4">
        <v>6</v>
      </c>
      <c r="F1191" s="8">
        <v>2.06</v>
      </c>
      <c r="G1191" s="4">
        <v>1</v>
      </c>
      <c r="H1191" s="8">
        <v>0.46</v>
      </c>
      <c r="I1191" s="4">
        <v>0</v>
      </c>
    </row>
    <row r="1192" spans="1:9" x14ac:dyDescent="0.2">
      <c r="A1192" s="2">
        <v>18</v>
      </c>
      <c r="B1192" s="1" t="s">
        <v>108</v>
      </c>
      <c r="C1192" s="4">
        <v>7</v>
      </c>
      <c r="D1192" s="8">
        <v>1.36</v>
      </c>
      <c r="E1192" s="4">
        <v>1</v>
      </c>
      <c r="F1192" s="8">
        <v>0.34</v>
      </c>
      <c r="G1192" s="4">
        <v>6</v>
      </c>
      <c r="H1192" s="8">
        <v>2.75</v>
      </c>
      <c r="I1192" s="4">
        <v>0</v>
      </c>
    </row>
    <row r="1193" spans="1:9" x14ac:dyDescent="0.2">
      <c r="A1193" s="1"/>
      <c r="C1193" s="4"/>
      <c r="D1193" s="8"/>
      <c r="E1193" s="4"/>
      <c r="F1193" s="8"/>
      <c r="G1193" s="4"/>
      <c r="H1193" s="8"/>
      <c r="I1193" s="4"/>
    </row>
    <row r="1194" spans="1:9" x14ac:dyDescent="0.2">
      <c r="A1194" s="1" t="s">
        <v>53</v>
      </c>
      <c r="C1194" s="4"/>
      <c r="D1194" s="8"/>
      <c r="E1194" s="4"/>
      <c r="F1194" s="8"/>
      <c r="G1194" s="4"/>
      <c r="H1194" s="8"/>
      <c r="I1194" s="4"/>
    </row>
    <row r="1195" spans="1:9" x14ac:dyDescent="0.2">
      <c r="A1195" s="2">
        <v>1</v>
      </c>
      <c r="B1195" s="1" t="s">
        <v>113</v>
      </c>
      <c r="C1195" s="4">
        <v>63</v>
      </c>
      <c r="D1195" s="8">
        <v>11.91</v>
      </c>
      <c r="E1195" s="4">
        <v>55</v>
      </c>
      <c r="F1195" s="8">
        <v>19.5</v>
      </c>
      <c r="G1195" s="4">
        <v>8</v>
      </c>
      <c r="H1195" s="8">
        <v>3.27</v>
      </c>
      <c r="I1195" s="4">
        <v>0</v>
      </c>
    </row>
    <row r="1196" spans="1:9" x14ac:dyDescent="0.2">
      <c r="A1196" s="2">
        <v>2</v>
      </c>
      <c r="B1196" s="1" t="s">
        <v>98</v>
      </c>
      <c r="C1196" s="4">
        <v>49</v>
      </c>
      <c r="D1196" s="8">
        <v>9.26</v>
      </c>
      <c r="E1196" s="4">
        <v>10</v>
      </c>
      <c r="F1196" s="8">
        <v>3.55</v>
      </c>
      <c r="G1196" s="4">
        <v>39</v>
      </c>
      <c r="H1196" s="8">
        <v>15.92</v>
      </c>
      <c r="I1196" s="4">
        <v>0</v>
      </c>
    </row>
    <row r="1197" spans="1:9" x14ac:dyDescent="0.2">
      <c r="A1197" s="2">
        <v>3</v>
      </c>
      <c r="B1197" s="1" t="s">
        <v>112</v>
      </c>
      <c r="C1197" s="4">
        <v>42</v>
      </c>
      <c r="D1197" s="8">
        <v>7.94</v>
      </c>
      <c r="E1197" s="4">
        <v>38</v>
      </c>
      <c r="F1197" s="8">
        <v>13.48</v>
      </c>
      <c r="G1197" s="4">
        <v>4</v>
      </c>
      <c r="H1197" s="8">
        <v>1.63</v>
      </c>
      <c r="I1197" s="4">
        <v>0</v>
      </c>
    </row>
    <row r="1198" spans="1:9" x14ac:dyDescent="0.2">
      <c r="A1198" s="2">
        <v>4</v>
      </c>
      <c r="B1198" s="1" t="s">
        <v>99</v>
      </c>
      <c r="C1198" s="4">
        <v>39</v>
      </c>
      <c r="D1198" s="8">
        <v>7.37</v>
      </c>
      <c r="E1198" s="4">
        <v>15</v>
      </c>
      <c r="F1198" s="8">
        <v>5.32</v>
      </c>
      <c r="G1198" s="4">
        <v>24</v>
      </c>
      <c r="H1198" s="8">
        <v>9.8000000000000007</v>
      </c>
      <c r="I1198" s="4">
        <v>0</v>
      </c>
    </row>
    <row r="1199" spans="1:9" x14ac:dyDescent="0.2">
      <c r="A1199" s="2">
        <v>5</v>
      </c>
      <c r="B1199" s="1" t="s">
        <v>100</v>
      </c>
      <c r="C1199" s="4">
        <v>36</v>
      </c>
      <c r="D1199" s="8">
        <v>6.81</v>
      </c>
      <c r="E1199" s="4">
        <v>10</v>
      </c>
      <c r="F1199" s="8">
        <v>3.55</v>
      </c>
      <c r="G1199" s="4">
        <v>26</v>
      </c>
      <c r="H1199" s="8">
        <v>10.61</v>
      </c>
      <c r="I1199" s="4">
        <v>0</v>
      </c>
    </row>
    <row r="1200" spans="1:9" x14ac:dyDescent="0.2">
      <c r="A1200" s="2">
        <v>5</v>
      </c>
      <c r="B1200" s="1" t="s">
        <v>105</v>
      </c>
      <c r="C1200" s="4">
        <v>36</v>
      </c>
      <c r="D1200" s="8">
        <v>6.81</v>
      </c>
      <c r="E1200" s="4">
        <v>27</v>
      </c>
      <c r="F1200" s="8">
        <v>9.57</v>
      </c>
      <c r="G1200" s="4">
        <v>9</v>
      </c>
      <c r="H1200" s="8">
        <v>3.67</v>
      </c>
      <c r="I1200" s="4">
        <v>0</v>
      </c>
    </row>
    <row r="1201" spans="1:9" x14ac:dyDescent="0.2">
      <c r="A1201" s="2">
        <v>7</v>
      </c>
      <c r="B1201" s="1" t="s">
        <v>107</v>
      </c>
      <c r="C1201" s="4">
        <v>31</v>
      </c>
      <c r="D1201" s="8">
        <v>5.86</v>
      </c>
      <c r="E1201" s="4">
        <v>19</v>
      </c>
      <c r="F1201" s="8">
        <v>6.74</v>
      </c>
      <c r="G1201" s="4">
        <v>12</v>
      </c>
      <c r="H1201" s="8">
        <v>4.9000000000000004</v>
      </c>
      <c r="I1201" s="4">
        <v>0</v>
      </c>
    </row>
    <row r="1202" spans="1:9" x14ac:dyDescent="0.2">
      <c r="A1202" s="2">
        <v>8</v>
      </c>
      <c r="B1202" s="1" t="s">
        <v>114</v>
      </c>
      <c r="C1202" s="4">
        <v>24</v>
      </c>
      <c r="D1202" s="8">
        <v>4.54</v>
      </c>
      <c r="E1202" s="4">
        <v>20</v>
      </c>
      <c r="F1202" s="8">
        <v>7.09</v>
      </c>
      <c r="G1202" s="4">
        <v>4</v>
      </c>
      <c r="H1202" s="8">
        <v>1.63</v>
      </c>
      <c r="I1202" s="4">
        <v>0</v>
      </c>
    </row>
    <row r="1203" spans="1:9" x14ac:dyDescent="0.2">
      <c r="A1203" s="2">
        <v>9</v>
      </c>
      <c r="B1203" s="1" t="s">
        <v>106</v>
      </c>
      <c r="C1203" s="4">
        <v>17</v>
      </c>
      <c r="D1203" s="8">
        <v>3.21</v>
      </c>
      <c r="E1203" s="4">
        <v>11</v>
      </c>
      <c r="F1203" s="8">
        <v>3.9</v>
      </c>
      <c r="G1203" s="4">
        <v>6</v>
      </c>
      <c r="H1203" s="8">
        <v>2.4500000000000002</v>
      </c>
      <c r="I1203" s="4">
        <v>0</v>
      </c>
    </row>
    <row r="1204" spans="1:9" x14ac:dyDescent="0.2">
      <c r="A1204" s="2">
        <v>10</v>
      </c>
      <c r="B1204" s="1" t="s">
        <v>109</v>
      </c>
      <c r="C1204" s="4">
        <v>14</v>
      </c>
      <c r="D1204" s="8">
        <v>2.65</v>
      </c>
      <c r="E1204" s="4">
        <v>4</v>
      </c>
      <c r="F1204" s="8">
        <v>1.42</v>
      </c>
      <c r="G1204" s="4">
        <v>10</v>
      </c>
      <c r="H1204" s="8">
        <v>4.08</v>
      </c>
      <c r="I1204" s="4">
        <v>0</v>
      </c>
    </row>
    <row r="1205" spans="1:9" x14ac:dyDescent="0.2">
      <c r="A1205" s="2">
        <v>10</v>
      </c>
      <c r="B1205" s="1" t="s">
        <v>110</v>
      </c>
      <c r="C1205" s="4">
        <v>14</v>
      </c>
      <c r="D1205" s="8">
        <v>2.65</v>
      </c>
      <c r="E1205" s="4">
        <v>11</v>
      </c>
      <c r="F1205" s="8">
        <v>3.9</v>
      </c>
      <c r="G1205" s="4">
        <v>3</v>
      </c>
      <c r="H1205" s="8">
        <v>1.22</v>
      </c>
      <c r="I1205" s="4">
        <v>0</v>
      </c>
    </row>
    <row r="1206" spans="1:9" x14ac:dyDescent="0.2">
      <c r="A1206" s="2">
        <v>12</v>
      </c>
      <c r="B1206" s="1" t="s">
        <v>115</v>
      </c>
      <c r="C1206" s="4">
        <v>13</v>
      </c>
      <c r="D1206" s="8">
        <v>2.46</v>
      </c>
      <c r="E1206" s="4">
        <v>9</v>
      </c>
      <c r="F1206" s="8">
        <v>3.19</v>
      </c>
      <c r="G1206" s="4">
        <v>4</v>
      </c>
      <c r="H1206" s="8">
        <v>1.63</v>
      </c>
      <c r="I1206" s="4">
        <v>0</v>
      </c>
    </row>
    <row r="1207" spans="1:9" x14ac:dyDescent="0.2">
      <c r="A1207" s="2">
        <v>13</v>
      </c>
      <c r="B1207" s="1" t="s">
        <v>116</v>
      </c>
      <c r="C1207" s="4">
        <v>11</v>
      </c>
      <c r="D1207" s="8">
        <v>2.08</v>
      </c>
      <c r="E1207" s="4">
        <v>0</v>
      </c>
      <c r="F1207" s="8">
        <v>0</v>
      </c>
      <c r="G1207" s="4">
        <v>11</v>
      </c>
      <c r="H1207" s="8">
        <v>4.49</v>
      </c>
      <c r="I1207" s="4">
        <v>0</v>
      </c>
    </row>
    <row r="1208" spans="1:9" x14ac:dyDescent="0.2">
      <c r="A1208" s="2">
        <v>13</v>
      </c>
      <c r="B1208" s="1" t="s">
        <v>123</v>
      </c>
      <c r="C1208" s="4">
        <v>11</v>
      </c>
      <c r="D1208" s="8">
        <v>2.08</v>
      </c>
      <c r="E1208" s="4">
        <v>8</v>
      </c>
      <c r="F1208" s="8">
        <v>2.84</v>
      </c>
      <c r="G1208" s="4">
        <v>3</v>
      </c>
      <c r="H1208" s="8">
        <v>1.22</v>
      </c>
      <c r="I1208" s="4">
        <v>0</v>
      </c>
    </row>
    <row r="1209" spans="1:9" x14ac:dyDescent="0.2">
      <c r="A1209" s="2">
        <v>15</v>
      </c>
      <c r="B1209" s="1" t="s">
        <v>111</v>
      </c>
      <c r="C1209" s="4">
        <v>10</v>
      </c>
      <c r="D1209" s="8">
        <v>1.89</v>
      </c>
      <c r="E1209" s="4">
        <v>5</v>
      </c>
      <c r="F1209" s="8">
        <v>1.77</v>
      </c>
      <c r="G1209" s="4">
        <v>5</v>
      </c>
      <c r="H1209" s="8">
        <v>2.04</v>
      </c>
      <c r="I1209" s="4">
        <v>0</v>
      </c>
    </row>
    <row r="1210" spans="1:9" x14ac:dyDescent="0.2">
      <c r="A1210" s="2">
        <v>15</v>
      </c>
      <c r="B1210" s="1" t="s">
        <v>118</v>
      </c>
      <c r="C1210" s="4">
        <v>10</v>
      </c>
      <c r="D1210" s="8">
        <v>1.89</v>
      </c>
      <c r="E1210" s="4">
        <v>4</v>
      </c>
      <c r="F1210" s="8">
        <v>1.42</v>
      </c>
      <c r="G1210" s="4">
        <v>6</v>
      </c>
      <c r="H1210" s="8">
        <v>2.4500000000000002</v>
      </c>
      <c r="I1210" s="4">
        <v>0</v>
      </c>
    </row>
    <row r="1211" spans="1:9" x14ac:dyDescent="0.2">
      <c r="A1211" s="2">
        <v>17</v>
      </c>
      <c r="B1211" s="1" t="s">
        <v>108</v>
      </c>
      <c r="C1211" s="4">
        <v>8</v>
      </c>
      <c r="D1211" s="8">
        <v>1.51</v>
      </c>
      <c r="E1211" s="4">
        <v>3</v>
      </c>
      <c r="F1211" s="8">
        <v>1.06</v>
      </c>
      <c r="G1211" s="4">
        <v>5</v>
      </c>
      <c r="H1211" s="8">
        <v>2.04</v>
      </c>
      <c r="I1211" s="4">
        <v>0</v>
      </c>
    </row>
    <row r="1212" spans="1:9" x14ac:dyDescent="0.2">
      <c r="A1212" s="2">
        <v>17</v>
      </c>
      <c r="B1212" s="1" t="s">
        <v>117</v>
      </c>
      <c r="C1212" s="4">
        <v>8</v>
      </c>
      <c r="D1212" s="8">
        <v>1.51</v>
      </c>
      <c r="E1212" s="4">
        <v>1</v>
      </c>
      <c r="F1212" s="8">
        <v>0.35</v>
      </c>
      <c r="G1212" s="4">
        <v>6</v>
      </c>
      <c r="H1212" s="8">
        <v>2.4500000000000002</v>
      </c>
      <c r="I1212" s="4">
        <v>0</v>
      </c>
    </row>
    <row r="1213" spans="1:9" x14ac:dyDescent="0.2">
      <c r="A1213" s="2">
        <v>19</v>
      </c>
      <c r="B1213" s="1" t="s">
        <v>101</v>
      </c>
      <c r="C1213" s="4">
        <v>7</v>
      </c>
      <c r="D1213" s="8">
        <v>1.32</v>
      </c>
      <c r="E1213" s="4">
        <v>3</v>
      </c>
      <c r="F1213" s="8">
        <v>1.06</v>
      </c>
      <c r="G1213" s="4">
        <v>4</v>
      </c>
      <c r="H1213" s="8">
        <v>1.63</v>
      </c>
      <c r="I1213" s="4">
        <v>0</v>
      </c>
    </row>
    <row r="1214" spans="1:9" x14ac:dyDescent="0.2">
      <c r="A1214" s="2">
        <v>19</v>
      </c>
      <c r="B1214" s="1" t="s">
        <v>104</v>
      </c>
      <c r="C1214" s="4">
        <v>7</v>
      </c>
      <c r="D1214" s="8">
        <v>1.32</v>
      </c>
      <c r="E1214" s="4">
        <v>4</v>
      </c>
      <c r="F1214" s="8">
        <v>1.42</v>
      </c>
      <c r="G1214" s="4">
        <v>3</v>
      </c>
      <c r="H1214" s="8">
        <v>1.22</v>
      </c>
      <c r="I1214" s="4">
        <v>0</v>
      </c>
    </row>
    <row r="1215" spans="1:9" x14ac:dyDescent="0.2">
      <c r="A1215" s="2">
        <v>19</v>
      </c>
      <c r="B1215" s="1" t="s">
        <v>126</v>
      </c>
      <c r="C1215" s="4">
        <v>7</v>
      </c>
      <c r="D1215" s="8">
        <v>1.32</v>
      </c>
      <c r="E1215" s="4">
        <v>3</v>
      </c>
      <c r="F1215" s="8">
        <v>1.06</v>
      </c>
      <c r="G1215" s="4">
        <v>4</v>
      </c>
      <c r="H1215" s="8">
        <v>1.63</v>
      </c>
      <c r="I1215" s="4">
        <v>0</v>
      </c>
    </row>
    <row r="1216" spans="1:9" x14ac:dyDescent="0.2">
      <c r="A1216" s="1"/>
      <c r="C1216" s="4"/>
      <c r="D1216" s="8"/>
      <c r="E1216" s="4"/>
      <c r="F1216" s="8"/>
      <c r="G1216" s="4"/>
      <c r="H1216" s="8"/>
      <c r="I1216" s="4"/>
    </row>
    <row r="1217" spans="1:9" x14ac:dyDescent="0.2">
      <c r="A1217" s="1" t="s">
        <v>54</v>
      </c>
      <c r="C1217" s="4"/>
      <c r="D1217" s="8"/>
      <c r="E1217" s="4"/>
      <c r="F1217" s="8"/>
      <c r="G1217" s="4"/>
      <c r="H1217" s="8"/>
      <c r="I1217" s="4"/>
    </row>
    <row r="1218" spans="1:9" x14ac:dyDescent="0.2">
      <c r="A1218" s="2">
        <v>1</v>
      </c>
      <c r="B1218" s="1" t="s">
        <v>112</v>
      </c>
      <c r="C1218" s="4">
        <v>56</v>
      </c>
      <c r="D1218" s="8">
        <v>10.87</v>
      </c>
      <c r="E1218" s="4">
        <v>52</v>
      </c>
      <c r="F1218" s="8">
        <v>18.309999999999999</v>
      </c>
      <c r="G1218" s="4">
        <v>4</v>
      </c>
      <c r="H1218" s="8">
        <v>1.75</v>
      </c>
      <c r="I1218" s="4">
        <v>0</v>
      </c>
    </row>
    <row r="1219" spans="1:9" x14ac:dyDescent="0.2">
      <c r="A1219" s="2">
        <v>2</v>
      </c>
      <c r="B1219" s="1" t="s">
        <v>98</v>
      </c>
      <c r="C1219" s="4">
        <v>50</v>
      </c>
      <c r="D1219" s="8">
        <v>9.7100000000000009</v>
      </c>
      <c r="E1219" s="4">
        <v>13</v>
      </c>
      <c r="F1219" s="8">
        <v>4.58</v>
      </c>
      <c r="G1219" s="4">
        <v>37</v>
      </c>
      <c r="H1219" s="8">
        <v>16.16</v>
      </c>
      <c r="I1219" s="4">
        <v>0</v>
      </c>
    </row>
    <row r="1220" spans="1:9" x14ac:dyDescent="0.2">
      <c r="A1220" s="2">
        <v>3</v>
      </c>
      <c r="B1220" s="1" t="s">
        <v>113</v>
      </c>
      <c r="C1220" s="4">
        <v>48</v>
      </c>
      <c r="D1220" s="8">
        <v>9.32</v>
      </c>
      <c r="E1220" s="4">
        <v>41</v>
      </c>
      <c r="F1220" s="8">
        <v>14.44</v>
      </c>
      <c r="G1220" s="4">
        <v>7</v>
      </c>
      <c r="H1220" s="8">
        <v>3.06</v>
      </c>
      <c r="I1220" s="4">
        <v>0</v>
      </c>
    </row>
    <row r="1221" spans="1:9" x14ac:dyDescent="0.2">
      <c r="A1221" s="2">
        <v>4</v>
      </c>
      <c r="B1221" s="1" t="s">
        <v>99</v>
      </c>
      <c r="C1221" s="4">
        <v>36</v>
      </c>
      <c r="D1221" s="8">
        <v>6.99</v>
      </c>
      <c r="E1221" s="4">
        <v>16</v>
      </c>
      <c r="F1221" s="8">
        <v>5.63</v>
      </c>
      <c r="G1221" s="4">
        <v>20</v>
      </c>
      <c r="H1221" s="8">
        <v>8.73</v>
      </c>
      <c r="I1221" s="4">
        <v>0</v>
      </c>
    </row>
    <row r="1222" spans="1:9" x14ac:dyDescent="0.2">
      <c r="A1222" s="2">
        <v>5</v>
      </c>
      <c r="B1222" s="1" t="s">
        <v>123</v>
      </c>
      <c r="C1222" s="4">
        <v>28</v>
      </c>
      <c r="D1222" s="8">
        <v>5.44</v>
      </c>
      <c r="E1222" s="4">
        <v>24</v>
      </c>
      <c r="F1222" s="8">
        <v>8.4499999999999993</v>
      </c>
      <c r="G1222" s="4">
        <v>4</v>
      </c>
      <c r="H1222" s="8">
        <v>1.75</v>
      </c>
      <c r="I1222" s="4">
        <v>0</v>
      </c>
    </row>
    <row r="1223" spans="1:9" x14ac:dyDescent="0.2">
      <c r="A1223" s="2">
        <v>6</v>
      </c>
      <c r="B1223" s="1" t="s">
        <v>105</v>
      </c>
      <c r="C1223" s="4">
        <v>26</v>
      </c>
      <c r="D1223" s="8">
        <v>5.05</v>
      </c>
      <c r="E1223" s="4">
        <v>21</v>
      </c>
      <c r="F1223" s="8">
        <v>7.39</v>
      </c>
      <c r="G1223" s="4">
        <v>5</v>
      </c>
      <c r="H1223" s="8">
        <v>2.1800000000000002</v>
      </c>
      <c r="I1223" s="4">
        <v>0</v>
      </c>
    </row>
    <row r="1224" spans="1:9" x14ac:dyDescent="0.2">
      <c r="A1224" s="2">
        <v>7</v>
      </c>
      <c r="B1224" s="1" t="s">
        <v>107</v>
      </c>
      <c r="C1224" s="4">
        <v>22</v>
      </c>
      <c r="D1224" s="8">
        <v>4.2699999999999996</v>
      </c>
      <c r="E1224" s="4">
        <v>10</v>
      </c>
      <c r="F1224" s="8">
        <v>3.52</v>
      </c>
      <c r="G1224" s="4">
        <v>12</v>
      </c>
      <c r="H1224" s="8">
        <v>5.24</v>
      </c>
      <c r="I1224" s="4">
        <v>0</v>
      </c>
    </row>
    <row r="1225" spans="1:9" x14ac:dyDescent="0.2">
      <c r="A1225" s="2">
        <v>8</v>
      </c>
      <c r="B1225" s="1" t="s">
        <v>100</v>
      </c>
      <c r="C1225" s="4">
        <v>19</v>
      </c>
      <c r="D1225" s="8">
        <v>3.69</v>
      </c>
      <c r="E1225" s="4">
        <v>5</v>
      </c>
      <c r="F1225" s="8">
        <v>1.76</v>
      </c>
      <c r="G1225" s="4">
        <v>14</v>
      </c>
      <c r="H1225" s="8">
        <v>6.11</v>
      </c>
      <c r="I1225" s="4">
        <v>0</v>
      </c>
    </row>
    <row r="1226" spans="1:9" x14ac:dyDescent="0.2">
      <c r="A1226" s="2">
        <v>8</v>
      </c>
      <c r="B1226" s="1" t="s">
        <v>106</v>
      </c>
      <c r="C1226" s="4">
        <v>19</v>
      </c>
      <c r="D1226" s="8">
        <v>3.69</v>
      </c>
      <c r="E1226" s="4">
        <v>13</v>
      </c>
      <c r="F1226" s="8">
        <v>4.58</v>
      </c>
      <c r="G1226" s="4">
        <v>6</v>
      </c>
      <c r="H1226" s="8">
        <v>2.62</v>
      </c>
      <c r="I1226" s="4">
        <v>0</v>
      </c>
    </row>
    <row r="1227" spans="1:9" x14ac:dyDescent="0.2">
      <c r="A1227" s="2">
        <v>10</v>
      </c>
      <c r="B1227" s="1" t="s">
        <v>109</v>
      </c>
      <c r="C1227" s="4">
        <v>16</v>
      </c>
      <c r="D1227" s="8">
        <v>3.11</v>
      </c>
      <c r="E1227" s="4">
        <v>9</v>
      </c>
      <c r="F1227" s="8">
        <v>3.17</v>
      </c>
      <c r="G1227" s="4">
        <v>7</v>
      </c>
      <c r="H1227" s="8">
        <v>3.06</v>
      </c>
      <c r="I1227" s="4">
        <v>0</v>
      </c>
    </row>
    <row r="1228" spans="1:9" x14ac:dyDescent="0.2">
      <c r="A1228" s="2">
        <v>11</v>
      </c>
      <c r="B1228" s="1" t="s">
        <v>114</v>
      </c>
      <c r="C1228" s="4">
        <v>15</v>
      </c>
      <c r="D1228" s="8">
        <v>2.91</v>
      </c>
      <c r="E1228" s="4">
        <v>10</v>
      </c>
      <c r="F1228" s="8">
        <v>3.52</v>
      </c>
      <c r="G1228" s="4">
        <v>4</v>
      </c>
      <c r="H1228" s="8">
        <v>1.75</v>
      </c>
      <c r="I1228" s="4">
        <v>0</v>
      </c>
    </row>
    <row r="1229" spans="1:9" x14ac:dyDescent="0.2">
      <c r="A1229" s="2">
        <v>11</v>
      </c>
      <c r="B1229" s="1" t="s">
        <v>115</v>
      </c>
      <c r="C1229" s="4">
        <v>15</v>
      </c>
      <c r="D1229" s="8">
        <v>2.91</v>
      </c>
      <c r="E1229" s="4">
        <v>13</v>
      </c>
      <c r="F1229" s="8">
        <v>4.58</v>
      </c>
      <c r="G1229" s="4">
        <v>2</v>
      </c>
      <c r="H1229" s="8">
        <v>0.87</v>
      </c>
      <c r="I1229" s="4">
        <v>0</v>
      </c>
    </row>
    <row r="1230" spans="1:9" x14ac:dyDescent="0.2">
      <c r="A1230" s="2">
        <v>13</v>
      </c>
      <c r="B1230" s="1" t="s">
        <v>101</v>
      </c>
      <c r="C1230" s="4">
        <v>14</v>
      </c>
      <c r="D1230" s="8">
        <v>2.72</v>
      </c>
      <c r="E1230" s="4">
        <v>4</v>
      </c>
      <c r="F1230" s="8">
        <v>1.41</v>
      </c>
      <c r="G1230" s="4">
        <v>10</v>
      </c>
      <c r="H1230" s="8">
        <v>4.37</v>
      </c>
      <c r="I1230" s="4">
        <v>0</v>
      </c>
    </row>
    <row r="1231" spans="1:9" x14ac:dyDescent="0.2">
      <c r="A1231" s="2">
        <v>14</v>
      </c>
      <c r="B1231" s="1" t="s">
        <v>119</v>
      </c>
      <c r="C1231" s="4">
        <v>12</v>
      </c>
      <c r="D1231" s="8">
        <v>2.33</v>
      </c>
      <c r="E1231" s="4">
        <v>2</v>
      </c>
      <c r="F1231" s="8">
        <v>0.7</v>
      </c>
      <c r="G1231" s="4">
        <v>10</v>
      </c>
      <c r="H1231" s="8">
        <v>4.37</v>
      </c>
      <c r="I1231" s="4">
        <v>0</v>
      </c>
    </row>
    <row r="1232" spans="1:9" x14ac:dyDescent="0.2">
      <c r="A1232" s="2">
        <v>14</v>
      </c>
      <c r="B1232" s="1" t="s">
        <v>104</v>
      </c>
      <c r="C1232" s="4">
        <v>12</v>
      </c>
      <c r="D1232" s="8">
        <v>2.33</v>
      </c>
      <c r="E1232" s="4">
        <v>5</v>
      </c>
      <c r="F1232" s="8">
        <v>1.76</v>
      </c>
      <c r="G1232" s="4">
        <v>7</v>
      </c>
      <c r="H1232" s="8">
        <v>3.06</v>
      </c>
      <c r="I1232" s="4">
        <v>0</v>
      </c>
    </row>
    <row r="1233" spans="1:9" x14ac:dyDescent="0.2">
      <c r="A1233" s="2">
        <v>16</v>
      </c>
      <c r="B1233" s="1" t="s">
        <v>111</v>
      </c>
      <c r="C1233" s="4">
        <v>9</v>
      </c>
      <c r="D1233" s="8">
        <v>1.75</v>
      </c>
      <c r="E1233" s="4">
        <v>5</v>
      </c>
      <c r="F1233" s="8">
        <v>1.76</v>
      </c>
      <c r="G1233" s="4">
        <v>4</v>
      </c>
      <c r="H1233" s="8">
        <v>1.75</v>
      </c>
      <c r="I1233" s="4">
        <v>0</v>
      </c>
    </row>
    <row r="1234" spans="1:9" x14ac:dyDescent="0.2">
      <c r="A1234" s="2">
        <v>17</v>
      </c>
      <c r="B1234" s="1" t="s">
        <v>102</v>
      </c>
      <c r="C1234" s="4">
        <v>8</v>
      </c>
      <c r="D1234" s="8">
        <v>1.55</v>
      </c>
      <c r="E1234" s="4">
        <v>2</v>
      </c>
      <c r="F1234" s="8">
        <v>0.7</v>
      </c>
      <c r="G1234" s="4">
        <v>6</v>
      </c>
      <c r="H1234" s="8">
        <v>2.62</v>
      </c>
      <c r="I1234" s="4">
        <v>0</v>
      </c>
    </row>
    <row r="1235" spans="1:9" x14ac:dyDescent="0.2">
      <c r="A1235" s="2">
        <v>18</v>
      </c>
      <c r="B1235" s="1" t="s">
        <v>108</v>
      </c>
      <c r="C1235" s="4">
        <v>7</v>
      </c>
      <c r="D1235" s="8">
        <v>1.36</v>
      </c>
      <c r="E1235" s="4">
        <v>2</v>
      </c>
      <c r="F1235" s="8">
        <v>0.7</v>
      </c>
      <c r="G1235" s="4">
        <v>5</v>
      </c>
      <c r="H1235" s="8">
        <v>2.1800000000000002</v>
      </c>
      <c r="I1235" s="4">
        <v>0</v>
      </c>
    </row>
    <row r="1236" spans="1:9" x14ac:dyDescent="0.2">
      <c r="A1236" s="2">
        <v>18</v>
      </c>
      <c r="B1236" s="1" t="s">
        <v>118</v>
      </c>
      <c r="C1236" s="4">
        <v>7</v>
      </c>
      <c r="D1236" s="8">
        <v>1.36</v>
      </c>
      <c r="E1236" s="4">
        <v>3</v>
      </c>
      <c r="F1236" s="8">
        <v>1.06</v>
      </c>
      <c r="G1236" s="4">
        <v>4</v>
      </c>
      <c r="H1236" s="8">
        <v>1.75</v>
      </c>
      <c r="I1236" s="4">
        <v>0</v>
      </c>
    </row>
    <row r="1237" spans="1:9" x14ac:dyDescent="0.2">
      <c r="A1237" s="2">
        <v>18</v>
      </c>
      <c r="B1237" s="1" t="s">
        <v>116</v>
      </c>
      <c r="C1237" s="4">
        <v>7</v>
      </c>
      <c r="D1237" s="8">
        <v>1.36</v>
      </c>
      <c r="E1237" s="4">
        <v>0</v>
      </c>
      <c r="F1237" s="8">
        <v>0</v>
      </c>
      <c r="G1237" s="4">
        <v>7</v>
      </c>
      <c r="H1237" s="8">
        <v>3.06</v>
      </c>
      <c r="I1237" s="4">
        <v>0</v>
      </c>
    </row>
    <row r="1238" spans="1:9" x14ac:dyDescent="0.2">
      <c r="A1238" s="2">
        <v>18</v>
      </c>
      <c r="B1238" s="1" t="s">
        <v>139</v>
      </c>
      <c r="C1238" s="4">
        <v>7</v>
      </c>
      <c r="D1238" s="8">
        <v>1.36</v>
      </c>
      <c r="E1238" s="4">
        <v>4</v>
      </c>
      <c r="F1238" s="8">
        <v>1.41</v>
      </c>
      <c r="G1238" s="4">
        <v>3</v>
      </c>
      <c r="H1238" s="8">
        <v>1.31</v>
      </c>
      <c r="I1238" s="4">
        <v>0</v>
      </c>
    </row>
    <row r="1239" spans="1:9" x14ac:dyDescent="0.2">
      <c r="A1239" s="1"/>
      <c r="C1239" s="4"/>
      <c r="D1239" s="8"/>
      <c r="E1239" s="4"/>
      <c r="F1239" s="8"/>
      <c r="G1239" s="4"/>
      <c r="H1239" s="8"/>
      <c r="I1239" s="4"/>
    </row>
    <row r="1240" spans="1:9" x14ac:dyDescent="0.2">
      <c r="A1240" s="1" t="s">
        <v>55</v>
      </c>
      <c r="C1240" s="4"/>
      <c r="D1240" s="8"/>
      <c r="E1240" s="4"/>
      <c r="F1240" s="8"/>
      <c r="G1240" s="4"/>
      <c r="H1240" s="8"/>
      <c r="I1240" s="4"/>
    </row>
    <row r="1241" spans="1:9" x14ac:dyDescent="0.2">
      <c r="A1241" s="2">
        <v>1</v>
      </c>
      <c r="B1241" s="1" t="s">
        <v>98</v>
      </c>
      <c r="C1241" s="4">
        <v>20</v>
      </c>
      <c r="D1241" s="8">
        <v>15.27</v>
      </c>
      <c r="E1241" s="4">
        <v>4</v>
      </c>
      <c r="F1241" s="8">
        <v>6.25</v>
      </c>
      <c r="G1241" s="4">
        <v>16</v>
      </c>
      <c r="H1241" s="8">
        <v>24.24</v>
      </c>
      <c r="I1241" s="4">
        <v>0</v>
      </c>
    </row>
    <row r="1242" spans="1:9" x14ac:dyDescent="0.2">
      <c r="A1242" s="2">
        <v>2</v>
      </c>
      <c r="B1242" s="1" t="s">
        <v>113</v>
      </c>
      <c r="C1242" s="4">
        <v>14</v>
      </c>
      <c r="D1242" s="8">
        <v>10.69</v>
      </c>
      <c r="E1242" s="4">
        <v>13</v>
      </c>
      <c r="F1242" s="8">
        <v>20.309999999999999</v>
      </c>
      <c r="G1242" s="4">
        <v>1</v>
      </c>
      <c r="H1242" s="8">
        <v>1.52</v>
      </c>
      <c r="I1242" s="4">
        <v>0</v>
      </c>
    </row>
    <row r="1243" spans="1:9" x14ac:dyDescent="0.2">
      <c r="A1243" s="2">
        <v>3</v>
      </c>
      <c r="B1243" s="1" t="s">
        <v>100</v>
      </c>
      <c r="C1243" s="4">
        <v>9</v>
      </c>
      <c r="D1243" s="8">
        <v>6.87</v>
      </c>
      <c r="E1243" s="4">
        <v>4</v>
      </c>
      <c r="F1243" s="8">
        <v>6.25</v>
      </c>
      <c r="G1243" s="4">
        <v>5</v>
      </c>
      <c r="H1243" s="8">
        <v>7.58</v>
      </c>
      <c r="I1243" s="4">
        <v>0</v>
      </c>
    </row>
    <row r="1244" spans="1:9" x14ac:dyDescent="0.2">
      <c r="A1244" s="2">
        <v>3</v>
      </c>
      <c r="B1244" s="1" t="s">
        <v>105</v>
      </c>
      <c r="C1244" s="4">
        <v>9</v>
      </c>
      <c r="D1244" s="8">
        <v>6.87</v>
      </c>
      <c r="E1244" s="4">
        <v>6</v>
      </c>
      <c r="F1244" s="8">
        <v>9.3800000000000008</v>
      </c>
      <c r="G1244" s="4">
        <v>2</v>
      </c>
      <c r="H1244" s="8">
        <v>3.03</v>
      </c>
      <c r="I1244" s="4">
        <v>1</v>
      </c>
    </row>
    <row r="1245" spans="1:9" x14ac:dyDescent="0.2">
      <c r="A1245" s="2">
        <v>5</v>
      </c>
      <c r="B1245" s="1" t="s">
        <v>119</v>
      </c>
      <c r="C1245" s="4">
        <v>8</v>
      </c>
      <c r="D1245" s="8">
        <v>6.11</v>
      </c>
      <c r="E1245" s="4">
        <v>2</v>
      </c>
      <c r="F1245" s="8">
        <v>3.13</v>
      </c>
      <c r="G1245" s="4">
        <v>6</v>
      </c>
      <c r="H1245" s="8">
        <v>9.09</v>
      </c>
      <c r="I1245" s="4">
        <v>0</v>
      </c>
    </row>
    <row r="1246" spans="1:9" x14ac:dyDescent="0.2">
      <c r="A1246" s="2">
        <v>6</v>
      </c>
      <c r="B1246" s="1" t="s">
        <v>106</v>
      </c>
      <c r="C1246" s="4">
        <v>7</v>
      </c>
      <c r="D1246" s="8">
        <v>5.34</v>
      </c>
      <c r="E1246" s="4">
        <v>7</v>
      </c>
      <c r="F1246" s="8">
        <v>10.94</v>
      </c>
      <c r="G1246" s="4">
        <v>0</v>
      </c>
      <c r="H1246" s="8">
        <v>0</v>
      </c>
      <c r="I1246" s="4">
        <v>0</v>
      </c>
    </row>
    <row r="1247" spans="1:9" x14ac:dyDescent="0.2">
      <c r="A1247" s="2">
        <v>6</v>
      </c>
      <c r="B1247" s="1" t="s">
        <v>107</v>
      </c>
      <c r="C1247" s="4">
        <v>7</v>
      </c>
      <c r="D1247" s="8">
        <v>5.34</v>
      </c>
      <c r="E1247" s="4">
        <v>4</v>
      </c>
      <c r="F1247" s="8">
        <v>6.25</v>
      </c>
      <c r="G1247" s="4">
        <v>3</v>
      </c>
      <c r="H1247" s="8">
        <v>4.55</v>
      </c>
      <c r="I1247" s="4">
        <v>0</v>
      </c>
    </row>
    <row r="1248" spans="1:9" x14ac:dyDescent="0.2">
      <c r="A1248" s="2">
        <v>6</v>
      </c>
      <c r="B1248" s="1" t="s">
        <v>116</v>
      </c>
      <c r="C1248" s="4">
        <v>7</v>
      </c>
      <c r="D1248" s="8">
        <v>5.34</v>
      </c>
      <c r="E1248" s="4">
        <v>0</v>
      </c>
      <c r="F1248" s="8">
        <v>0</v>
      </c>
      <c r="G1248" s="4">
        <v>7</v>
      </c>
      <c r="H1248" s="8">
        <v>10.61</v>
      </c>
      <c r="I1248" s="4">
        <v>0</v>
      </c>
    </row>
    <row r="1249" spans="1:9" x14ac:dyDescent="0.2">
      <c r="A1249" s="2">
        <v>9</v>
      </c>
      <c r="B1249" s="1" t="s">
        <v>99</v>
      </c>
      <c r="C1249" s="4">
        <v>4</v>
      </c>
      <c r="D1249" s="8">
        <v>3.05</v>
      </c>
      <c r="E1249" s="4">
        <v>3</v>
      </c>
      <c r="F1249" s="8">
        <v>4.6900000000000004</v>
      </c>
      <c r="G1249" s="4">
        <v>1</v>
      </c>
      <c r="H1249" s="8">
        <v>1.52</v>
      </c>
      <c r="I1249" s="4">
        <v>0</v>
      </c>
    </row>
    <row r="1250" spans="1:9" x14ac:dyDescent="0.2">
      <c r="A1250" s="2">
        <v>9</v>
      </c>
      <c r="B1250" s="1" t="s">
        <v>129</v>
      </c>
      <c r="C1250" s="4">
        <v>4</v>
      </c>
      <c r="D1250" s="8">
        <v>3.05</v>
      </c>
      <c r="E1250" s="4">
        <v>3</v>
      </c>
      <c r="F1250" s="8">
        <v>4.6900000000000004</v>
      </c>
      <c r="G1250" s="4">
        <v>1</v>
      </c>
      <c r="H1250" s="8">
        <v>1.52</v>
      </c>
      <c r="I1250" s="4">
        <v>0</v>
      </c>
    </row>
    <row r="1251" spans="1:9" x14ac:dyDescent="0.2">
      <c r="A1251" s="2">
        <v>9</v>
      </c>
      <c r="B1251" s="1" t="s">
        <v>104</v>
      </c>
      <c r="C1251" s="4">
        <v>4</v>
      </c>
      <c r="D1251" s="8">
        <v>3.05</v>
      </c>
      <c r="E1251" s="4">
        <v>3</v>
      </c>
      <c r="F1251" s="8">
        <v>4.6900000000000004</v>
      </c>
      <c r="G1251" s="4">
        <v>1</v>
      </c>
      <c r="H1251" s="8">
        <v>1.52</v>
      </c>
      <c r="I1251" s="4">
        <v>0</v>
      </c>
    </row>
    <row r="1252" spans="1:9" x14ac:dyDescent="0.2">
      <c r="A1252" s="2">
        <v>9</v>
      </c>
      <c r="B1252" s="1" t="s">
        <v>123</v>
      </c>
      <c r="C1252" s="4">
        <v>4</v>
      </c>
      <c r="D1252" s="8">
        <v>3.05</v>
      </c>
      <c r="E1252" s="4">
        <v>3</v>
      </c>
      <c r="F1252" s="8">
        <v>4.6900000000000004</v>
      </c>
      <c r="G1252" s="4">
        <v>1</v>
      </c>
      <c r="H1252" s="8">
        <v>1.52</v>
      </c>
      <c r="I1252" s="4">
        <v>0</v>
      </c>
    </row>
    <row r="1253" spans="1:9" x14ac:dyDescent="0.2">
      <c r="A1253" s="2">
        <v>13</v>
      </c>
      <c r="B1253" s="1" t="s">
        <v>136</v>
      </c>
      <c r="C1253" s="4">
        <v>3</v>
      </c>
      <c r="D1253" s="8">
        <v>2.29</v>
      </c>
      <c r="E1253" s="4">
        <v>0</v>
      </c>
      <c r="F1253" s="8">
        <v>0</v>
      </c>
      <c r="G1253" s="4">
        <v>3</v>
      </c>
      <c r="H1253" s="8">
        <v>4.55</v>
      </c>
      <c r="I1253" s="4">
        <v>0</v>
      </c>
    </row>
    <row r="1254" spans="1:9" x14ac:dyDescent="0.2">
      <c r="A1254" s="2">
        <v>13</v>
      </c>
      <c r="B1254" s="1" t="s">
        <v>137</v>
      </c>
      <c r="C1254" s="4">
        <v>3</v>
      </c>
      <c r="D1254" s="8">
        <v>2.29</v>
      </c>
      <c r="E1254" s="4">
        <v>1</v>
      </c>
      <c r="F1254" s="8">
        <v>1.56</v>
      </c>
      <c r="G1254" s="4">
        <v>2</v>
      </c>
      <c r="H1254" s="8">
        <v>3.03</v>
      </c>
      <c r="I1254" s="4">
        <v>0</v>
      </c>
    </row>
    <row r="1255" spans="1:9" x14ac:dyDescent="0.2">
      <c r="A1255" s="2">
        <v>13</v>
      </c>
      <c r="B1255" s="1" t="s">
        <v>101</v>
      </c>
      <c r="C1255" s="4">
        <v>3</v>
      </c>
      <c r="D1255" s="8">
        <v>2.29</v>
      </c>
      <c r="E1255" s="4">
        <v>1</v>
      </c>
      <c r="F1255" s="8">
        <v>1.56</v>
      </c>
      <c r="G1255" s="4">
        <v>2</v>
      </c>
      <c r="H1255" s="8">
        <v>3.03</v>
      </c>
      <c r="I1255" s="4">
        <v>0</v>
      </c>
    </row>
    <row r="1256" spans="1:9" x14ac:dyDescent="0.2">
      <c r="A1256" s="2">
        <v>16</v>
      </c>
      <c r="B1256" s="1" t="s">
        <v>142</v>
      </c>
      <c r="C1256" s="4">
        <v>2</v>
      </c>
      <c r="D1256" s="8">
        <v>1.53</v>
      </c>
      <c r="E1256" s="4">
        <v>1</v>
      </c>
      <c r="F1256" s="8">
        <v>1.56</v>
      </c>
      <c r="G1256" s="4">
        <v>1</v>
      </c>
      <c r="H1256" s="8">
        <v>1.52</v>
      </c>
      <c r="I1256" s="4">
        <v>0</v>
      </c>
    </row>
    <row r="1257" spans="1:9" x14ac:dyDescent="0.2">
      <c r="A1257" s="2">
        <v>16</v>
      </c>
      <c r="B1257" s="1" t="s">
        <v>143</v>
      </c>
      <c r="C1257" s="4">
        <v>2</v>
      </c>
      <c r="D1257" s="8">
        <v>1.53</v>
      </c>
      <c r="E1257" s="4">
        <v>2</v>
      </c>
      <c r="F1257" s="8">
        <v>3.13</v>
      </c>
      <c r="G1257" s="4">
        <v>0</v>
      </c>
      <c r="H1257" s="8">
        <v>0</v>
      </c>
      <c r="I1257" s="4">
        <v>0</v>
      </c>
    </row>
    <row r="1258" spans="1:9" x14ac:dyDescent="0.2">
      <c r="A1258" s="2">
        <v>16</v>
      </c>
      <c r="B1258" s="1" t="s">
        <v>128</v>
      </c>
      <c r="C1258" s="4">
        <v>2</v>
      </c>
      <c r="D1258" s="8">
        <v>1.53</v>
      </c>
      <c r="E1258" s="4">
        <v>1</v>
      </c>
      <c r="F1258" s="8">
        <v>1.56</v>
      </c>
      <c r="G1258" s="4">
        <v>1</v>
      </c>
      <c r="H1258" s="8">
        <v>1.52</v>
      </c>
      <c r="I1258" s="4">
        <v>0</v>
      </c>
    </row>
    <row r="1259" spans="1:9" x14ac:dyDescent="0.2">
      <c r="A1259" s="2">
        <v>16</v>
      </c>
      <c r="B1259" s="1" t="s">
        <v>124</v>
      </c>
      <c r="C1259" s="4">
        <v>2</v>
      </c>
      <c r="D1259" s="8">
        <v>1.53</v>
      </c>
      <c r="E1259" s="4">
        <v>0</v>
      </c>
      <c r="F1259" s="8">
        <v>0</v>
      </c>
      <c r="G1259" s="4">
        <v>2</v>
      </c>
      <c r="H1259" s="8">
        <v>3.03</v>
      </c>
      <c r="I1259" s="4">
        <v>0</v>
      </c>
    </row>
    <row r="1260" spans="1:9" x14ac:dyDescent="0.2">
      <c r="A1260" s="2">
        <v>16</v>
      </c>
      <c r="B1260" s="1" t="s">
        <v>108</v>
      </c>
      <c r="C1260" s="4">
        <v>2</v>
      </c>
      <c r="D1260" s="8">
        <v>1.53</v>
      </c>
      <c r="E1260" s="4">
        <v>0</v>
      </c>
      <c r="F1260" s="8">
        <v>0</v>
      </c>
      <c r="G1260" s="4">
        <v>2</v>
      </c>
      <c r="H1260" s="8">
        <v>3.03</v>
      </c>
      <c r="I1260" s="4">
        <v>0</v>
      </c>
    </row>
    <row r="1261" spans="1:9" x14ac:dyDescent="0.2">
      <c r="A1261" s="2">
        <v>16</v>
      </c>
      <c r="B1261" s="1" t="s">
        <v>110</v>
      </c>
      <c r="C1261" s="4">
        <v>2</v>
      </c>
      <c r="D1261" s="8">
        <v>1.53</v>
      </c>
      <c r="E1261" s="4">
        <v>1</v>
      </c>
      <c r="F1261" s="8">
        <v>1.56</v>
      </c>
      <c r="G1261" s="4">
        <v>1</v>
      </c>
      <c r="H1261" s="8">
        <v>1.52</v>
      </c>
      <c r="I1261" s="4">
        <v>0</v>
      </c>
    </row>
    <row r="1262" spans="1:9" x14ac:dyDescent="0.2">
      <c r="A1262" s="2">
        <v>16</v>
      </c>
      <c r="B1262" s="1" t="s">
        <v>111</v>
      </c>
      <c r="C1262" s="4">
        <v>2</v>
      </c>
      <c r="D1262" s="8">
        <v>1.53</v>
      </c>
      <c r="E1262" s="4">
        <v>1</v>
      </c>
      <c r="F1262" s="8">
        <v>1.56</v>
      </c>
      <c r="G1262" s="4">
        <v>1</v>
      </c>
      <c r="H1262" s="8">
        <v>1.52</v>
      </c>
      <c r="I1262" s="4">
        <v>0</v>
      </c>
    </row>
    <row r="1263" spans="1:9" x14ac:dyDescent="0.2">
      <c r="A1263" s="2">
        <v>16</v>
      </c>
      <c r="B1263" s="1" t="s">
        <v>114</v>
      </c>
      <c r="C1263" s="4">
        <v>2</v>
      </c>
      <c r="D1263" s="8">
        <v>1.53</v>
      </c>
      <c r="E1263" s="4">
        <v>0</v>
      </c>
      <c r="F1263" s="8">
        <v>0</v>
      </c>
      <c r="G1263" s="4">
        <v>2</v>
      </c>
      <c r="H1263" s="8">
        <v>3.03</v>
      </c>
      <c r="I1263" s="4">
        <v>0</v>
      </c>
    </row>
    <row r="1264" spans="1:9" x14ac:dyDescent="0.2">
      <c r="A1264" s="2">
        <v>16</v>
      </c>
      <c r="B1264" s="1" t="s">
        <v>115</v>
      </c>
      <c r="C1264" s="4">
        <v>2</v>
      </c>
      <c r="D1264" s="8">
        <v>1.53</v>
      </c>
      <c r="E1264" s="4">
        <v>2</v>
      </c>
      <c r="F1264" s="8">
        <v>3.13</v>
      </c>
      <c r="G1264" s="4">
        <v>0</v>
      </c>
      <c r="H1264" s="8">
        <v>0</v>
      </c>
      <c r="I1264" s="4">
        <v>0</v>
      </c>
    </row>
    <row r="1265" spans="1:9" x14ac:dyDescent="0.2">
      <c r="A1265" s="2">
        <v>16</v>
      </c>
      <c r="B1265" s="1" t="s">
        <v>117</v>
      </c>
      <c r="C1265" s="4">
        <v>2</v>
      </c>
      <c r="D1265" s="8">
        <v>1.53</v>
      </c>
      <c r="E1265" s="4">
        <v>0</v>
      </c>
      <c r="F1265" s="8">
        <v>0</v>
      </c>
      <c r="G1265" s="4">
        <v>2</v>
      </c>
      <c r="H1265" s="8">
        <v>3.03</v>
      </c>
      <c r="I1265" s="4">
        <v>0</v>
      </c>
    </row>
    <row r="1266" spans="1:9" x14ac:dyDescent="0.2">
      <c r="A1266" s="1"/>
      <c r="C1266" s="4"/>
      <c r="D1266" s="8"/>
      <c r="E1266" s="4"/>
      <c r="F1266" s="8"/>
      <c r="G1266" s="4"/>
      <c r="H1266" s="8"/>
      <c r="I1266" s="4"/>
    </row>
    <row r="1267" spans="1:9" x14ac:dyDescent="0.2">
      <c r="A1267" s="1" t="s">
        <v>56</v>
      </c>
      <c r="C1267" s="4"/>
      <c r="D1267" s="8"/>
      <c r="E1267" s="4"/>
      <c r="F1267" s="8"/>
      <c r="G1267" s="4"/>
      <c r="H1267" s="8"/>
      <c r="I1267" s="4"/>
    </row>
    <row r="1268" spans="1:9" x14ac:dyDescent="0.2">
      <c r="A1268" s="2">
        <v>1</v>
      </c>
      <c r="B1268" s="1" t="s">
        <v>98</v>
      </c>
      <c r="C1268" s="4">
        <v>53</v>
      </c>
      <c r="D1268" s="8">
        <v>15.59</v>
      </c>
      <c r="E1268" s="4">
        <v>16</v>
      </c>
      <c r="F1268" s="8">
        <v>9.52</v>
      </c>
      <c r="G1268" s="4">
        <v>37</v>
      </c>
      <c r="H1268" s="8">
        <v>21.76</v>
      </c>
      <c r="I1268" s="4">
        <v>0</v>
      </c>
    </row>
    <row r="1269" spans="1:9" x14ac:dyDescent="0.2">
      <c r="A1269" s="2">
        <v>2</v>
      </c>
      <c r="B1269" s="1" t="s">
        <v>113</v>
      </c>
      <c r="C1269" s="4">
        <v>33</v>
      </c>
      <c r="D1269" s="8">
        <v>9.7100000000000009</v>
      </c>
      <c r="E1269" s="4">
        <v>28</v>
      </c>
      <c r="F1269" s="8">
        <v>16.670000000000002</v>
      </c>
      <c r="G1269" s="4">
        <v>5</v>
      </c>
      <c r="H1269" s="8">
        <v>2.94</v>
      </c>
      <c r="I1269" s="4">
        <v>0</v>
      </c>
    </row>
    <row r="1270" spans="1:9" x14ac:dyDescent="0.2">
      <c r="A1270" s="2">
        <v>3</v>
      </c>
      <c r="B1270" s="1" t="s">
        <v>112</v>
      </c>
      <c r="C1270" s="4">
        <v>25</v>
      </c>
      <c r="D1270" s="8">
        <v>7.35</v>
      </c>
      <c r="E1270" s="4">
        <v>23</v>
      </c>
      <c r="F1270" s="8">
        <v>13.69</v>
      </c>
      <c r="G1270" s="4">
        <v>2</v>
      </c>
      <c r="H1270" s="8">
        <v>1.18</v>
      </c>
      <c r="I1270" s="4">
        <v>0</v>
      </c>
    </row>
    <row r="1271" spans="1:9" x14ac:dyDescent="0.2">
      <c r="A1271" s="2">
        <v>4</v>
      </c>
      <c r="B1271" s="1" t="s">
        <v>107</v>
      </c>
      <c r="C1271" s="4">
        <v>20</v>
      </c>
      <c r="D1271" s="8">
        <v>5.88</v>
      </c>
      <c r="E1271" s="4">
        <v>10</v>
      </c>
      <c r="F1271" s="8">
        <v>5.95</v>
      </c>
      <c r="G1271" s="4">
        <v>10</v>
      </c>
      <c r="H1271" s="8">
        <v>5.88</v>
      </c>
      <c r="I1271" s="4">
        <v>0</v>
      </c>
    </row>
    <row r="1272" spans="1:9" x14ac:dyDescent="0.2">
      <c r="A1272" s="2">
        <v>5</v>
      </c>
      <c r="B1272" s="1" t="s">
        <v>99</v>
      </c>
      <c r="C1272" s="4">
        <v>18</v>
      </c>
      <c r="D1272" s="8">
        <v>5.29</v>
      </c>
      <c r="E1272" s="4">
        <v>5</v>
      </c>
      <c r="F1272" s="8">
        <v>2.98</v>
      </c>
      <c r="G1272" s="4">
        <v>13</v>
      </c>
      <c r="H1272" s="8">
        <v>7.65</v>
      </c>
      <c r="I1272" s="4">
        <v>0</v>
      </c>
    </row>
    <row r="1273" spans="1:9" x14ac:dyDescent="0.2">
      <c r="A1273" s="2">
        <v>6</v>
      </c>
      <c r="B1273" s="1" t="s">
        <v>105</v>
      </c>
      <c r="C1273" s="4">
        <v>16</v>
      </c>
      <c r="D1273" s="8">
        <v>4.71</v>
      </c>
      <c r="E1273" s="4">
        <v>14</v>
      </c>
      <c r="F1273" s="8">
        <v>8.33</v>
      </c>
      <c r="G1273" s="4">
        <v>2</v>
      </c>
      <c r="H1273" s="8">
        <v>1.18</v>
      </c>
      <c r="I1273" s="4">
        <v>0</v>
      </c>
    </row>
    <row r="1274" spans="1:9" x14ac:dyDescent="0.2">
      <c r="A1274" s="2">
        <v>7</v>
      </c>
      <c r="B1274" s="1" t="s">
        <v>123</v>
      </c>
      <c r="C1274" s="4">
        <v>15</v>
      </c>
      <c r="D1274" s="8">
        <v>4.41</v>
      </c>
      <c r="E1274" s="4">
        <v>15</v>
      </c>
      <c r="F1274" s="8">
        <v>8.93</v>
      </c>
      <c r="G1274" s="4">
        <v>0</v>
      </c>
      <c r="H1274" s="8">
        <v>0</v>
      </c>
      <c r="I1274" s="4">
        <v>0</v>
      </c>
    </row>
    <row r="1275" spans="1:9" x14ac:dyDescent="0.2">
      <c r="A1275" s="2">
        <v>8</v>
      </c>
      <c r="B1275" s="1" t="s">
        <v>100</v>
      </c>
      <c r="C1275" s="4">
        <v>13</v>
      </c>
      <c r="D1275" s="8">
        <v>3.82</v>
      </c>
      <c r="E1275" s="4">
        <v>2</v>
      </c>
      <c r="F1275" s="8">
        <v>1.19</v>
      </c>
      <c r="G1275" s="4">
        <v>11</v>
      </c>
      <c r="H1275" s="8">
        <v>6.47</v>
      </c>
      <c r="I1275" s="4">
        <v>0</v>
      </c>
    </row>
    <row r="1276" spans="1:9" x14ac:dyDescent="0.2">
      <c r="A1276" s="2">
        <v>8</v>
      </c>
      <c r="B1276" s="1" t="s">
        <v>106</v>
      </c>
      <c r="C1276" s="4">
        <v>13</v>
      </c>
      <c r="D1276" s="8">
        <v>3.82</v>
      </c>
      <c r="E1276" s="4">
        <v>11</v>
      </c>
      <c r="F1276" s="8">
        <v>6.55</v>
      </c>
      <c r="G1276" s="4">
        <v>2</v>
      </c>
      <c r="H1276" s="8">
        <v>1.18</v>
      </c>
      <c r="I1276" s="4">
        <v>0</v>
      </c>
    </row>
    <row r="1277" spans="1:9" x14ac:dyDescent="0.2">
      <c r="A1277" s="2">
        <v>10</v>
      </c>
      <c r="B1277" s="1" t="s">
        <v>114</v>
      </c>
      <c r="C1277" s="4">
        <v>10</v>
      </c>
      <c r="D1277" s="8">
        <v>2.94</v>
      </c>
      <c r="E1277" s="4">
        <v>8</v>
      </c>
      <c r="F1277" s="8">
        <v>4.76</v>
      </c>
      <c r="G1277" s="4">
        <v>1</v>
      </c>
      <c r="H1277" s="8">
        <v>0.59</v>
      </c>
      <c r="I1277" s="4">
        <v>0</v>
      </c>
    </row>
    <row r="1278" spans="1:9" x14ac:dyDescent="0.2">
      <c r="A1278" s="2">
        <v>11</v>
      </c>
      <c r="B1278" s="1" t="s">
        <v>116</v>
      </c>
      <c r="C1278" s="4">
        <v>9</v>
      </c>
      <c r="D1278" s="8">
        <v>2.65</v>
      </c>
      <c r="E1278" s="4">
        <v>0</v>
      </c>
      <c r="F1278" s="8">
        <v>0</v>
      </c>
      <c r="G1278" s="4">
        <v>9</v>
      </c>
      <c r="H1278" s="8">
        <v>5.29</v>
      </c>
      <c r="I1278" s="4">
        <v>0</v>
      </c>
    </row>
    <row r="1279" spans="1:9" x14ac:dyDescent="0.2">
      <c r="A1279" s="2">
        <v>12</v>
      </c>
      <c r="B1279" s="1" t="s">
        <v>129</v>
      </c>
      <c r="C1279" s="4">
        <v>8</v>
      </c>
      <c r="D1279" s="8">
        <v>2.35</v>
      </c>
      <c r="E1279" s="4">
        <v>3</v>
      </c>
      <c r="F1279" s="8">
        <v>1.79</v>
      </c>
      <c r="G1279" s="4">
        <v>5</v>
      </c>
      <c r="H1279" s="8">
        <v>2.94</v>
      </c>
      <c r="I1279" s="4">
        <v>0</v>
      </c>
    </row>
    <row r="1280" spans="1:9" x14ac:dyDescent="0.2">
      <c r="A1280" s="2">
        <v>12</v>
      </c>
      <c r="B1280" s="1" t="s">
        <v>115</v>
      </c>
      <c r="C1280" s="4">
        <v>8</v>
      </c>
      <c r="D1280" s="8">
        <v>2.35</v>
      </c>
      <c r="E1280" s="4">
        <v>7</v>
      </c>
      <c r="F1280" s="8">
        <v>4.17</v>
      </c>
      <c r="G1280" s="4">
        <v>1</v>
      </c>
      <c r="H1280" s="8">
        <v>0.59</v>
      </c>
      <c r="I1280" s="4">
        <v>0</v>
      </c>
    </row>
    <row r="1281" spans="1:9" x14ac:dyDescent="0.2">
      <c r="A1281" s="2">
        <v>14</v>
      </c>
      <c r="B1281" s="1" t="s">
        <v>109</v>
      </c>
      <c r="C1281" s="4">
        <v>6</v>
      </c>
      <c r="D1281" s="8">
        <v>1.76</v>
      </c>
      <c r="E1281" s="4">
        <v>0</v>
      </c>
      <c r="F1281" s="8">
        <v>0</v>
      </c>
      <c r="G1281" s="4">
        <v>6</v>
      </c>
      <c r="H1281" s="8">
        <v>3.53</v>
      </c>
      <c r="I1281" s="4">
        <v>0</v>
      </c>
    </row>
    <row r="1282" spans="1:9" x14ac:dyDescent="0.2">
      <c r="A1282" s="2">
        <v>15</v>
      </c>
      <c r="B1282" s="1" t="s">
        <v>119</v>
      </c>
      <c r="C1282" s="4">
        <v>5</v>
      </c>
      <c r="D1282" s="8">
        <v>1.47</v>
      </c>
      <c r="E1282" s="4">
        <v>2</v>
      </c>
      <c r="F1282" s="8">
        <v>1.19</v>
      </c>
      <c r="G1282" s="4">
        <v>3</v>
      </c>
      <c r="H1282" s="8">
        <v>1.76</v>
      </c>
      <c r="I1282" s="4">
        <v>0</v>
      </c>
    </row>
    <row r="1283" spans="1:9" x14ac:dyDescent="0.2">
      <c r="A1283" s="2">
        <v>15</v>
      </c>
      <c r="B1283" s="1" t="s">
        <v>145</v>
      </c>
      <c r="C1283" s="4">
        <v>5</v>
      </c>
      <c r="D1283" s="8">
        <v>1.47</v>
      </c>
      <c r="E1283" s="4">
        <v>1</v>
      </c>
      <c r="F1283" s="8">
        <v>0.6</v>
      </c>
      <c r="G1283" s="4">
        <v>4</v>
      </c>
      <c r="H1283" s="8">
        <v>2.35</v>
      </c>
      <c r="I1283" s="4">
        <v>0</v>
      </c>
    </row>
    <row r="1284" spans="1:9" x14ac:dyDescent="0.2">
      <c r="A1284" s="2">
        <v>15</v>
      </c>
      <c r="B1284" s="1" t="s">
        <v>101</v>
      </c>
      <c r="C1284" s="4">
        <v>5</v>
      </c>
      <c r="D1284" s="8">
        <v>1.47</v>
      </c>
      <c r="E1284" s="4">
        <v>0</v>
      </c>
      <c r="F1284" s="8">
        <v>0</v>
      </c>
      <c r="G1284" s="4">
        <v>5</v>
      </c>
      <c r="H1284" s="8">
        <v>2.94</v>
      </c>
      <c r="I1284" s="4">
        <v>0</v>
      </c>
    </row>
    <row r="1285" spans="1:9" x14ac:dyDescent="0.2">
      <c r="A1285" s="2">
        <v>15</v>
      </c>
      <c r="B1285" s="1" t="s">
        <v>111</v>
      </c>
      <c r="C1285" s="4">
        <v>5</v>
      </c>
      <c r="D1285" s="8">
        <v>1.47</v>
      </c>
      <c r="E1285" s="4">
        <v>3</v>
      </c>
      <c r="F1285" s="8">
        <v>1.79</v>
      </c>
      <c r="G1285" s="4">
        <v>2</v>
      </c>
      <c r="H1285" s="8">
        <v>1.18</v>
      </c>
      <c r="I1285" s="4">
        <v>0</v>
      </c>
    </row>
    <row r="1286" spans="1:9" x14ac:dyDescent="0.2">
      <c r="A1286" s="2">
        <v>15</v>
      </c>
      <c r="B1286" s="1" t="s">
        <v>121</v>
      </c>
      <c r="C1286" s="4">
        <v>5</v>
      </c>
      <c r="D1286" s="8">
        <v>1.47</v>
      </c>
      <c r="E1286" s="4">
        <v>2</v>
      </c>
      <c r="F1286" s="8">
        <v>1.19</v>
      </c>
      <c r="G1286" s="4">
        <v>2</v>
      </c>
      <c r="H1286" s="8">
        <v>1.18</v>
      </c>
      <c r="I1286" s="4">
        <v>0</v>
      </c>
    </row>
    <row r="1287" spans="1:9" x14ac:dyDescent="0.2">
      <c r="A1287" s="2">
        <v>20</v>
      </c>
      <c r="B1287" s="1" t="s">
        <v>143</v>
      </c>
      <c r="C1287" s="4">
        <v>4</v>
      </c>
      <c r="D1287" s="8">
        <v>1.18</v>
      </c>
      <c r="E1287" s="4">
        <v>0</v>
      </c>
      <c r="F1287" s="8">
        <v>0</v>
      </c>
      <c r="G1287" s="4">
        <v>4</v>
      </c>
      <c r="H1287" s="8">
        <v>2.35</v>
      </c>
      <c r="I1287" s="4">
        <v>0</v>
      </c>
    </row>
    <row r="1288" spans="1:9" x14ac:dyDescent="0.2">
      <c r="A1288" s="2">
        <v>20</v>
      </c>
      <c r="B1288" s="1" t="s">
        <v>128</v>
      </c>
      <c r="C1288" s="4">
        <v>4</v>
      </c>
      <c r="D1288" s="8">
        <v>1.18</v>
      </c>
      <c r="E1288" s="4">
        <v>2</v>
      </c>
      <c r="F1288" s="8">
        <v>1.19</v>
      </c>
      <c r="G1288" s="4">
        <v>2</v>
      </c>
      <c r="H1288" s="8">
        <v>1.18</v>
      </c>
      <c r="I1288" s="4">
        <v>0</v>
      </c>
    </row>
    <row r="1289" spans="1:9" x14ac:dyDescent="0.2">
      <c r="A1289" s="2">
        <v>20</v>
      </c>
      <c r="B1289" s="1" t="s">
        <v>144</v>
      </c>
      <c r="C1289" s="4">
        <v>4</v>
      </c>
      <c r="D1289" s="8">
        <v>1.18</v>
      </c>
      <c r="E1289" s="4">
        <v>0</v>
      </c>
      <c r="F1289" s="8">
        <v>0</v>
      </c>
      <c r="G1289" s="4">
        <v>4</v>
      </c>
      <c r="H1289" s="8">
        <v>2.35</v>
      </c>
      <c r="I1289" s="4">
        <v>0</v>
      </c>
    </row>
    <row r="1290" spans="1:9" x14ac:dyDescent="0.2">
      <c r="A1290" s="2">
        <v>20</v>
      </c>
      <c r="B1290" s="1" t="s">
        <v>137</v>
      </c>
      <c r="C1290" s="4">
        <v>4</v>
      </c>
      <c r="D1290" s="8">
        <v>1.18</v>
      </c>
      <c r="E1290" s="4">
        <v>0</v>
      </c>
      <c r="F1290" s="8">
        <v>0</v>
      </c>
      <c r="G1290" s="4">
        <v>4</v>
      </c>
      <c r="H1290" s="8">
        <v>2.35</v>
      </c>
      <c r="I1290" s="4">
        <v>0</v>
      </c>
    </row>
    <row r="1291" spans="1:9" x14ac:dyDescent="0.2">
      <c r="A1291" s="2">
        <v>20</v>
      </c>
      <c r="B1291" s="1" t="s">
        <v>103</v>
      </c>
      <c r="C1291" s="4">
        <v>4</v>
      </c>
      <c r="D1291" s="8">
        <v>1.18</v>
      </c>
      <c r="E1291" s="4">
        <v>0</v>
      </c>
      <c r="F1291" s="8">
        <v>0</v>
      </c>
      <c r="G1291" s="4">
        <v>4</v>
      </c>
      <c r="H1291" s="8">
        <v>2.35</v>
      </c>
      <c r="I1291" s="4">
        <v>0</v>
      </c>
    </row>
    <row r="1292" spans="1:9" x14ac:dyDescent="0.2">
      <c r="A1292" s="2">
        <v>20</v>
      </c>
      <c r="B1292" s="1" t="s">
        <v>110</v>
      </c>
      <c r="C1292" s="4">
        <v>4</v>
      </c>
      <c r="D1292" s="8">
        <v>1.18</v>
      </c>
      <c r="E1292" s="4">
        <v>4</v>
      </c>
      <c r="F1292" s="8">
        <v>2.38</v>
      </c>
      <c r="G1292" s="4">
        <v>0</v>
      </c>
      <c r="H1292" s="8">
        <v>0</v>
      </c>
      <c r="I1292" s="4">
        <v>0</v>
      </c>
    </row>
    <row r="1293" spans="1:9" x14ac:dyDescent="0.2">
      <c r="A1293" s="2">
        <v>20</v>
      </c>
      <c r="B1293" s="1" t="s">
        <v>139</v>
      </c>
      <c r="C1293" s="4">
        <v>4</v>
      </c>
      <c r="D1293" s="8">
        <v>1.18</v>
      </c>
      <c r="E1293" s="4">
        <v>2</v>
      </c>
      <c r="F1293" s="8">
        <v>1.19</v>
      </c>
      <c r="G1293" s="4">
        <v>2</v>
      </c>
      <c r="H1293" s="8">
        <v>1.18</v>
      </c>
      <c r="I1293" s="4">
        <v>0</v>
      </c>
    </row>
    <row r="1294" spans="1:9" x14ac:dyDescent="0.2">
      <c r="A1294" s="1"/>
      <c r="C1294" s="4"/>
      <c r="D1294" s="8"/>
      <c r="E1294" s="4"/>
      <c r="F1294" s="8"/>
      <c r="G1294" s="4"/>
      <c r="H1294" s="8"/>
      <c r="I1294" s="4"/>
    </row>
    <row r="1295" spans="1:9" x14ac:dyDescent="0.2">
      <c r="A1295" s="1" t="s">
        <v>57</v>
      </c>
      <c r="C1295" s="4"/>
      <c r="D1295" s="8"/>
      <c r="E1295" s="4"/>
      <c r="F1295" s="8"/>
      <c r="G1295" s="4"/>
      <c r="H1295" s="8"/>
      <c r="I1295" s="4"/>
    </row>
    <row r="1296" spans="1:9" x14ac:dyDescent="0.2">
      <c r="A1296" s="2">
        <v>1</v>
      </c>
      <c r="B1296" s="1" t="s">
        <v>113</v>
      </c>
      <c r="C1296" s="4">
        <v>31</v>
      </c>
      <c r="D1296" s="8">
        <v>14.35</v>
      </c>
      <c r="E1296" s="4">
        <v>28</v>
      </c>
      <c r="F1296" s="8">
        <v>20</v>
      </c>
      <c r="G1296" s="4">
        <v>3</v>
      </c>
      <c r="H1296" s="8">
        <v>4.1100000000000003</v>
      </c>
      <c r="I1296" s="4">
        <v>0</v>
      </c>
    </row>
    <row r="1297" spans="1:9" x14ac:dyDescent="0.2">
      <c r="A1297" s="2">
        <v>2</v>
      </c>
      <c r="B1297" s="1" t="s">
        <v>112</v>
      </c>
      <c r="C1297" s="4">
        <v>27</v>
      </c>
      <c r="D1297" s="8">
        <v>12.5</v>
      </c>
      <c r="E1297" s="4">
        <v>26</v>
      </c>
      <c r="F1297" s="8">
        <v>18.57</v>
      </c>
      <c r="G1297" s="4">
        <v>1</v>
      </c>
      <c r="H1297" s="8">
        <v>1.37</v>
      </c>
      <c r="I1297" s="4">
        <v>0</v>
      </c>
    </row>
    <row r="1298" spans="1:9" x14ac:dyDescent="0.2">
      <c r="A1298" s="2">
        <v>3</v>
      </c>
      <c r="B1298" s="1" t="s">
        <v>98</v>
      </c>
      <c r="C1298" s="4">
        <v>20</v>
      </c>
      <c r="D1298" s="8">
        <v>9.26</v>
      </c>
      <c r="E1298" s="4">
        <v>7</v>
      </c>
      <c r="F1298" s="8">
        <v>5</v>
      </c>
      <c r="G1298" s="4">
        <v>13</v>
      </c>
      <c r="H1298" s="8">
        <v>17.809999999999999</v>
      </c>
      <c r="I1298" s="4">
        <v>0</v>
      </c>
    </row>
    <row r="1299" spans="1:9" x14ac:dyDescent="0.2">
      <c r="A1299" s="2">
        <v>4</v>
      </c>
      <c r="B1299" s="1" t="s">
        <v>109</v>
      </c>
      <c r="C1299" s="4">
        <v>18</v>
      </c>
      <c r="D1299" s="8">
        <v>8.33</v>
      </c>
      <c r="E1299" s="4">
        <v>14</v>
      </c>
      <c r="F1299" s="8">
        <v>10</v>
      </c>
      <c r="G1299" s="4">
        <v>4</v>
      </c>
      <c r="H1299" s="8">
        <v>5.48</v>
      </c>
      <c r="I1299" s="4">
        <v>0</v>
      </c>
    </row>
    <row r="1300" spans="1:9" x14ac:dyDescent="0.2">
      <c r="A1300" s="2">
        <v>5</v>
      </c>
      <c r="B1300" s="1" t="s">
        <v>107</v>
      </c>
      <c r="C1300" s="4">
        <v>13</v>
      </c>
      <c r="D1300" s="8">
        <v>6.02</v>
      </c>
      <c r="E1300" s="4">
        <v>7</v>
      </c>
      <c r="F1300" s="8">
        <v>5</v>
      </c>
      <c r="G1300" s="4">
        <v>6</v>
      </c>
      <c r="H1300" s="8">
        <v>8.2200000000000006</v>
      </c>
      <c r="I1300" s="4">
        <v>0</v>
      </c>
    </row>
    <row r="1301" spans="1:9" x14ac:dyDescent="0.2">
      <c r="A1301" s="2">
        <v>6</v>
      </c>
      <c r="B1301" s="1" t="s">
        <v>105</v>
      </c>
      <c r="C1301" s="4">
        <v>11</v>
      </c>
      <c r="D1301" s="8">
        <v>5.09</v>
      </c>
      <c r="E1301" s="4">
        <v>9</v>
      </c>
      <c r="F1301" s="8">
        <v>6.43</v>
      </c>
      <c r="G1301" s="4">
        <v>2</v>
      </c>
      <c r="H1301" s="8">
        <v>2.74</v>
      </c>
      <c r="I1301" s="4">
        <v>0</v>
      </c>
    </row>
    <row r="1302" spans="1:9" x14ac:dyDescent="0.2">
      <c r="A1302" s="2">
        <v>7</v>
      </c>
      <c r="B1302" s="1" t="s">
        <v>106</v>
      </c>
      <c r="C1302" s="4">
        <v>9</v>
      </c>
      <c r="D1302" s="8">
        <v>4.17</v>
      </c>
      <c r="E1302" s="4">
        <v>9</v>
      </c>
      <c r="F1302" s="8">
        <v>6.43</v>
      </c>
      <c r="G1302" s="4">
        <v>0</v>
      </c>
      <c r="H1302" s="8">
        <v>0</v>
      </c>
      <c r="I1302" s="4">
        <v>0</v>
      </c>
    </row>
    <row r="1303" spans="1:9" x14ac:dyDescent="0.2">
      <c r="A1303" s="2">
        <v>8</v>
      </c>
      <c r="B1303" s="1" t="s">
        <v>100</v>
      </c>
      <c r="C1303" s="4">
        <v>8</v>
      </c>
      <c r="D1303" s="8">
        <v>3.7</v>
      </c>
      <c r="E1303" s="4">
        <v>4</v>
      </c>
      <c r="F1303" s="8">
        <v>2.86</v>
      </c>
      <c r="G1303" s="4">
        <v>4</v>
      </c>
      <c r="H1303" s="8">
        <v>5.48</v>
      </c>
      <c r="I1303" s="4">
        <v>0</v>
      </c>
    </row>
    <row r="1304" spans="1:9" x14ac:dyDescent="0.2">
      <c r="A1304" s="2">
        <v>8</v>
      </c>
      <c r="B1304" s="1" t="s">
        <v>116</v>
      </c>
      <c r="C1304" s="4">
        <v>8</v>
      </c>
      <c r="D1304" s="8">
        <v>3.7</v>
      </c>
      <c r="E1304" s="4">
        <v>0</v>
      </c>
      <c r="F1304" s="8">
        <v>0</v>
      </c>
      <c r="G1304" s="4">
        <v>7</v>
      </c>
      <c r="H1304" s="8">
        <v>9.59</v>
      </c>
      <c r="I1304" s="4">
        <v>0</v>
      </c>
    </row>
    <row r="1305" spans="1:9" x14ac:dyDescent="0.2">
      <c r="A1305" s="2">
        <v>10</v>
      </c>
      <c r="B1305" s="1" t="s">
        <v>99</v>
      </c>
      <c r="C1305" s="4">
        <v>7</v>
      </c>
      <c r="D1305" s="8">
        <v>3.24</v>
      </c>
      <c r="E1305" s="4">
        <v>5</v>
      </c>
      <c r="F1305" s="8">
        <v>3.57</v>
      </c>
      <c r="G1305" s="4">
        <v>2</v>
      </c>
      <c r="H1305" s="8">
        <v>2.74</v>
      </c>
      <c r="I1305" s="4">
        <v>0</v>
      </c>
    </row>
    <row r="1306" spans="1:9" x14ac:dyDescent="0.2">
      <c r="A1306" s="2">
        <v>10</v>
      </c>
      <c r="B1306" s="1" t="s">
        <v>111</v>
      </c>
      <c r="C1306" s="4">
        <v>7</v>
      </c>
      <c r="D1306" s="8">
        <v>3.24</v>
      </c>
      <c r="E1306" s="4">
        <v>3</v>
      </c>
      <c r="F1306" s="8">
        <v>2.14</v>
      </c>
      <c r="G1306" s="4">
        <v>4</v>
      </c>
      <c r="H1306" s="8">
        <v>5.48</v>
      </c>
      <c r="I1306" s="4">
        <v>0</v>
      </c>
    </row>
    <row r="1307" spans="1:9" x14ac:dyDescent="0.2">
      <c r="A1307" s="2">
        <v>12</v>
      </c>
      <c r="B1307" s="1" t="s">
        <v>115</v>
      </c>
      <c r="C1307" s="4">
        <v>6</v>
      </c>
      <c r="D1307" s="8">
        <v>2.78</v>
      </c>
      <c r="E1307" s="4">
        <v>6</v>
      </c>
      <c r="F1307" s="8">
        <v>4.29</v>
      </c>
      <c r="G1307" s="4">
        <v>0</v>
      </c>
      <c r="H1307" s="8">
        <v>0</v>
      </c>
      <c r="I1307" s="4">
        <v>0</v>
      </c>
    </row>
    <row r="1308" spans="1:9" x14ac:dyDescent="0.2">
      <c r="A1308" s="2">
        <v>13</v>
      </c>
      <c r="B1308" s="1" t="s">
        <v>123</v>
      </c>
      <c r="C1308" s="4">
        <v>5</v>
      </c>
      <c r="D1308" s="8">
        <v>2.31</v>
      </c>
      <c r="E1308" s="4">
        <v>4</v>
      </c>
      <c r="F1308" s="8">
        <v>2.86</v>
      </c>
      <c r="G1308" s="4">
        <v>1</v>
      </c>
      <c r="H1308" s="8">
        <v>1.37</v>
      </c>
      <c r="I1308" s="4">
        <v>0</v>
      </c>
    </row>
    <row r="1309" spans="1:9" x14ac:dyDescent="0.2">
      <c r="A1309" s="2">
        <v>14</v>
      </c>
      <c r="B1309" s="1" t="s">
        <v>118</v>
      </c>
      <c r="C1309" s="4">
        <v>4</v>
      </c>
      <c r="D1309" s="8">
        <v>1.85</v>
      </c>
      <c r="E1309" s="4">
        <v>1</v>
      </c>
      <c r="F1309" s="8">
        <v>0.71</v>
      </c>
      <c r="G1309" s="4">
        <v>3</v>
      </c>
      <c r="H1309" s="8">
        <v>4.1100000000000003</v>
      </c>
      <c r="I1309" s="4">
        <v>0</v>
      </c>
    </row>
    <row r="1310" spans="1:9" x14ac:dyDescent="0.2">
      <c r="A1310" s="2">
        <v>14</v>
      </c>
      <c r="B1310" s="1" t="s">
        <v>114</v>
      </c>
      <c r="C1310" s="4">
        <v>4</v>
      </c>
      <c r="D1310" s="8">
        <v>1.85</v>
      </c>
      <c r="E1310" s="4">
        <v>4</v>
      </c>
      <c r="F1310" s="8">
        <v>2.86</v>
      </c>
      <c r="G1310" s="4">
        <v>0</v>
      </c>
      <c r="H1310" s="8">
        <v>0</v>
      </c>
      <c r="I1310" s="4">
        <v>0</v>
      </c>
    </row>
    <row r="1311" spans="1:9" x14ac:dyDescent="0.2">
      <c r="A1311" s="2">
        <v>16</v>
      </c>
      <c r="B1311" s="1" t="s">
        <v>146</v>
      </c>
      <c r="C1311" s="4">
        <v>3</v>
      </c>
      <c r="D1311" s="8">
        <v>1.39</v>
      </c>
      <c r="E1311" s="4">
        <v>0</v>
      </c>
      <c r="F1311" s="8">
        <v>0</v>
      </c>
      <c r="G1311" s="4">
        <v>3</v>
      </c>
      <c r="H1311" s="8">
        <v>4.1100000000000003</v>
      </c>
      <c r="I1311" s="4">
        <v>0</v>
      </c>
    </row>
    <row r="1312" spans="1:9" x14ac:dyDescent="0.2">
      <c r="A1312" s="2">
        <v>16</v>
      </c>
      <c r="B1312" s="1" t="s">
        <v>103</v>
      </c>
      <c r="C1312" s="4">
        <v>3</v>
      </c>
      <c r="D1312" s="8">
        <v>1.39</v>
      </c>
      <c r="E1312" s="4">
        <v>1</v>
      </c>
      <c r="F1312" s="8">
        <v>0.71</v>
      </c>
      <c r="G1312" s="4">
        <v>2</v>
      </c>
      <c r="H1312" s="8">
        <v>2.74</v>
      </c>
      <c r="I1312" s="4">
        <v>0</v>
      </c>
    </row>
    <row r="1313" spans="1:9" x14ac:dyDescent="0.2">
      <c r="A1313" s="2">
        <v>18</v>
      </c>
      <c r="B1313" s="1" t="s">
        <v>130</v>
      </c>
      <c r="C1313" s="4">
        <v>2</v>
      </c>
      <c r="D1313" s="8">
        <v>0.93</v>
      </c>
      <c r="E1313" s="4">
        <v>1</v>
      </c>
      <c r="F1313" s="8">
        <v>0.71</v>
      </c>
      <c r="G1313" s="4">
        <v>1</v>
      </c>
      <c r="H1313" s="8">
        <v>1.37</v>
      </c>
      <c r="I1313" s="4">
        <v>0</v>
      </c>
    </row>
    <row r="1314" spans="1:9" x14ac:dyDescent="0.2">
      <c r="A1314" s="2">
        <v>18</v>
      </c>
      <c r="B1314" s="1" t="s">
        <v>136</v>
      </c>
      <c r="C1314" s="4">
        <v>2</v>
      </c>
      <c r="D1314" s="8">
        <v>0.93</v>
      </c>
      <c r="E1314" s="4">
        <v>1</v>
      </c>
      <c r="F1314" s="8">
        <v>0.71</v>
      </c>
      <c r="G1314" s="4">
        <v>1</v>
      </c>
      <c r="H1314" s="8">
        <v>1.37</v>
      </c>
      <c r="I1314" s="4">
        <v>0</v>
      </c>
    </row>
    <row r="1315" spans="1:9" x14ac:dyDescent="0.2">
      <c r="A1315" s="2">
        <v>18</v>
      </c>
      <c r="B1315" s="1" t="s">
        <v>119</v>
      </c>
      <c r="C1315" s="4">
        <v>2</v>
      </c>
      <c r="D1315" s="8">
        <v>0.93</v>
      </c>
      <c r="E1315" s="4">
        <v>0</v>
      </c>
      <c r="F1315" s="8">
        <v>0</v>
      </c>
      <c r="G1315" s="4">
        <v>2</v>
      </c>
      <c r="H1315" s="8">
        <v>2.74</v>
      </c>
      <c r="I1315" s="4">
        <v>0</v>
      </c>
    </row>
    <row r="1316" spans="1:9" x14ac:dyDescent="0.2">
      <c r="A1316" s="2">
        <v>18</v>
      </c>
      <c r="B1316" s="1" t="s">
        <v>128</v>
      </c>
      <c r="C1316" s="4">
        <v>2</v>
      </c>
      <c r="D1316" s="8">
        <v>0.93</v>
      </c>
      <c r="E1316" s="4">
        <v>1</v>
      </c>
      <c r="F1316" s="8">
        <v>0.71</v>
      </c>
      <c r="G1316" s="4">
        <v>1</v>
      </c>
      <c r="H1316" s="8">
        <v>1.37</v>
      </c>
      <c r="I1316" s="4">
        <v>0</v>
      </c>
    </row>
    <row r="1317" spans="1:9" x14ac:dyDescent="0.2">
      <c r="A1317" s="2">
        <v>18</v>
      </c>
      <c r="B1317" s="1" t="s">
        <v>101</v>
      </c>
      <c r="C1317" s="4">
        <v>2</v>
      </c>
      <c r="D1317" s="8">
        <v>0.93</v>
      </c>
      <c r="E1317" s="4">
        <v>0</v>
      </c>
      <c r="F1317" s="8">
        <v>0</v>
      </c>
      <c r="G1317" s="4">
        <v>2</v>
      </c>
      <c r="H1317" s="8">
        <v>2.74</v>
      </c>
      <c r="I1317" s="4">
        <v>0</v>
      </c>
    </row>
    <row r="1318" spans="1:9" x14ac:dyDescent="0.2">
      <c r="A1318" s="2">
        <v>18</v>
      </c>
      <c r="B1318" s="1" t="s">
        <v>104</v>
      </c>
      <c r="C1318" s="4">
        <v>2</v>
      </c>
      <c r="D1318" s="8">
        <v>0.93</v>
      </c>
      <c r="E1318" s="4">
        <v>2</v>
      </c>
      <c r="F1318" s="8">
        <v>1.43</v>
      </c>
      <c r="G1318" s="4">
        <v>0</v>
      </c>
      <c r="H1318" s="8">
        <v>0</v>
      </c>
      <c r="I1318" s="4">
        <v>0</v>
      </c>
    </row>
    <row r="1319" spans="1:9" x14ac:dyDescent="0.2">
      <c r="A1319" s="2">
        <v>18</v>
      </c>
      <c r="B1319" s="1" t="s">
        <v>126</v>
      </c>
      <c r="C1319" s="4">
        <v>2</v>
      </c>
      <c r="D1319" s="8">
        <v>0.93</v>
      </c>
      <c r="E1319" s="4">
        <v>0</v>
      </c>
      <c r="F1319" s="8">
        <v>0</v>
      </c>
      <c r="G1319" s="4">
        <v>2</v>
      </c>
      <c r="H1319" s="8">
        <v>2.74</v>
      </c>
      <c r="I1319" s="4">
        <v>0</v>
      </c>
    </row>
    <row r="1320" spans="1:9" x14ac:dyDescent="0.2">
      <c r="A1320" s="2">
        <v>18</v>
      </c>
      <c r="B1320" s="1" t="s">
        <v>110</v>
      </c>
      <c r="C1320" s="4">
        <v>2</v>
      </c>
      <c r="D1320" s="8">
        <v>0.93</v>
      </c>
      <c r="E1320" s="4">
        <v>2</v>
      </c>
      <c r="F1320" s="8">
        <v>1.43</v>
      </c>
      <c r="G1320" s="4">
        <v>0</v>
      </c>
      <c r="H1320" s="8">
        <v>0</v>
      </c>
      <c r="I1320" s="4">
        <v>0</v>
      </c>
    </row>
    <row r="1321" spans="1:9" x14ac:dyDescent="0.2">
      <c r="A1321" s="2">
        <v>18</v>
      </c>
      <c r="B1321" s="1" t="s">
        <v>121</v>
      </c>
      <c r="C1321" s="4">
        <v>2</v>
      </c>
      <c r="D1321" s="8">
        <v>0.93</v>
      </c>
      <c r="E1321" s="4">
        <v>2</v>
      </c>
      <c r="F1321" s="8">
        <v>1.43</v>
      </c>
      <c r="G1321" s="4">
        <v>0</v>
      </c>
      <c r="H1321" s="8">
        <v>0</v>
      </c>
      <c r="I1321" s="4">
        <v>0</v>
      </c>
    </row>
    <row r="1322" spans="1:9" x14ac:dyDescent="0.2">
      <c r="A1322" s="2">
        <v>18</v>
      </c>
      <c r="B1322" s="1" t="s">
        <v>127</v>
      </c>
      <c r="C1322" s="4">
        <v>2</v>
      </c>
      <c r="D1322" s="8">
        <v>0.93</v>
      </c>
      <c r="E1322" s="4">
        <v>0</v>
      </c>
      <c r="F1322" s="8">
        <v>0</v>
      </c>
      <c r="G1322" s="4">
        <v>1</v>
      </c>
      <c r="H1322" s="8">
        <v>1.37</v>
      </c>
      <c r="I1322" s="4">
        <v>0</v>
      </c>
    </row>
    <row r="1323" spans="1:9" x14ac:dyDescent="0.2">
      <c r="A1323" s="2">
        <v>18</v>
      </c>
      <c r="B1323" s="1" t="s">
        <v>147</v>
      </c>
      <c r="C1323" s="4">
        <v>2</v>
      </c>
      <c r="D1323" s="8">
        <v>0.93</v>
      </c>
      <c r="E1323" s="4">
        <v>0</v>
      </c>
      <c r="F1323" s="8">
        <v>0</v>
      </c>
      <c r="G1323" s="4">
        <v>1</v>
      </c>
      <c r="H1323" s="8">
        <v>1.37</v>
      </c>
      <c r="I1323" s="4">
        <v>0</v>
      </c>
    </row>
    <row r="1324" spans="1:9" x14ac:dyDescent="0.2">
      <c r="A1324" s="1"/>
      <c r="C1324" s="4"/>
      <c r="D1324" s="8"/>
      <c r="E1324" s="4"/>
      <c r="F1324" s="8"/>
      <c r="G1324" s="4"/>
      <c r="H1324" s="8"/>
      <c r="I1324" s="4"/>
    </row>
    <row r="1325" spans="1:9" x14ac:dyDescent="0.2">
      <c r="A1325" s="1" t="s">
        <v>58</v>
      </c>
      <c r="C1325" s="4"/>
      <c r="D1325" s="8"/>
      <c r="E1325" s="4"/>
      <c r="F1325" s="8"/>
      <c r="G1325" s="4"/>
      <c r="H1325" s="8"/>
      <c r="I1325" s="4"/>
    </row>
    <row r="1326" spans="1:9" x14ac:dyDescent="0.2">
      <c r="A1326" s="2">
        <v>1</v>
      </c>
      <c r="B1326" s="1" t="s">
        <v>113</v>
      </c>
      <c r="C1326" s="4">
        <v>47</v>
      </c>
      <c r="D1326" s="8">
        <v>9.8699999999999992</v>
      </c>
      <c r="E1326" s="4">
        <v>42</v>
      </c>
      <c r="F1326" s="8">
        <v>15.97</v>
      </c>
      <c r="G1326" s="4">
        <v>5</v>
      </c>
      <c r="H1326" s="8">
        <v>2.4</v>
      </c>
      <c r="I1326" s="4">
        <v>0</v>
      </c>
    </row>
    <row r="1327" spans="1:9" x14ac:dyDescent="0.2">
      <c r="A1327" s="2">
        <v>2</v>
      </c>
      <c r="B1327" s="1" t="s">
        <v>99</v>
      </c>
      <c r="C1327" s="4">
        <v>46</v>
      </c>
      <c r="D1327" s="8">
        <v>9.66</v>
      </c>
      <c r="E1327" s="4">
        <v>25</v>
      </c>
      <c r="F1327" s="8">
        <v>9.51</v>
      </c>
      <c r="G1327" s="4">
        <v>21</v>
      </c>
      <c r="H1327" s="8">
        <v>10.1</v>
      </c>
      <c r="I1327" s="4">
        <v>0</v>
      </c>
    </row>
    <row r="1328" spans="1:9" x14ac:dyDescent="0.2">
      <c r="A1328" s="2">
        <v>3</v>
      </c>
      <c r="B1328" s="1" t="s">
        <v>98</v>
      </c>
      <c r="C1328" s="4">
        <v>43</v>
      </c>
      <c r="D1328" s="8">
        <v>9.0299999999999994</v>
      </c>
      <c r="E1328" s="4">
        <v>15</v>
      </c>
      <c r="F1328" s="8">
        <v>5.7</v>
      </c>
      <c r="G1328" s="4">
        <v>28</v>
      </c>
      <c r="H1328" s="8">
        <v>13.46</v>
      </c>
      <c r="I1328" s="4">
        <v>0</v>
      </c>
    </row>
    <row r="1329" spans="1:9" x14ac:dyDescent="0.2">
      <c r="A1329" s="2">
        <v>4</v>
      </c>
      <c r="B1329" s="1" t="s">
        <v>107</v>
      </c>
      <c r="C1329" s="4">
        <v>34</v>
      </c>
      <c r="D1329" s="8">
        <v>7.14</v>
      </c>
      <c r="E1329" s="4">
        <v>17</v>
      </c>
      <c r="F1329" s="8">
        <v>6.46</v>
      </c>
      <c r="G1329" s="4">
        <v>17</v>
      </c>
      <c r="H1329" s="8">
        <v>8.17</v>
      </c>
      <c r="I1329" s="4">
        <v>0</v>
      </c>
    </row>
    <row r="1330" spans="1:9" x14ac:dyDescent="0.2">
      <c r="A1330" s="2">
        <v>5</v>
      </c>
      <c r="B1330" s="1" t="s">
        <v>106</v>
      </c>
      <c r="C1330" s="4">
        <v>33</v>
      </c>
      <c r="D1330" s="8">
        <v>6.93</v>
      </c>
      <c r="E1330" s="4">
        <v>27</v>
      </c>
      <c r="F1330" s="8">
        <v>10.27</v>
      </c>
      <c r="G1330" s="4">
        <v>6</v>
      </c>
      <c r="H1330" s="8">
        <v>2.88</v>
      </c>
      <c r="I1330" s="4">
        <v>0</v>
      </c>
    </row>
    <row r="1331" spans="1:9" x14ac:dyDescent="0.2">
      <c r="A1331" s="2">
        <v>6</v>
      </c>
      <c r="B1331" s="1" t="s">
        <v>112</v>
      </c>
      <c r="C1331" s="4">
        <v>30</v>
      </c>
      <c r="D1331" s="8">
        <v>6.3</v>
      </c>
      <c r="E1331" s="4">
        <v>27</v>
      </c>
      <c r="F1331" s="8">
        <v>10.27</v>
      </c>
      <c r="G1331" s="4">
        <v>3</v>
      </c>
      <c r="H1331" s="8">
        <v>1.44</v>
      </c>
      <c r="I1331" s="4">
        <v>0</v>
      </c>
    </row>
    <row r="1332" spans="1:9" x14ac:dyDescent="0.2">
      <c r="A1332" s="2">
        <v>7</v>
      </c>
      <c r="B1332" s="1" t="s">
        <v>100</v>
      </c>
      <c r="C1332" s="4">
        <v>25</v>
      </c>
      <c r="D1332" s="8">
        <v>5.25</v>
      </c>
      <c r="E1332" s="4">
        <v>12</v>
      </c>
      <c r="F1332" s="8">
        <v>4.5599999999999996</v>
      </c>
      <c r="G1332" s="4">
        <v>13</v>
      </c>
      <c r="H1332" s="8">
        <v>6.25</v>
      </c>
      <c r="I1332" s="4">
        <v>0</v>
      </c>
    </row>
    <row r="1333" spans="1:9" x14ac:dyDescent="0.2">
      <c r="A1333" s="2">
        <v>7</v>
      </c>
      <c r="B1333" s="1" t="s">
        <v>105</v>
      </c>
      <c r="C1333" s="4">
        <v>25</v>
      </c>
      <c r="D1333" s="8">
        <v>5.25</v>
      </c>
      <c r="E1333" s="4">
        <v>17</v>
      </c>
      <c r="F1333" s="8">
        <v>6.46</v>
      </c>
      <c r="G1333" s="4">
        <v>8</v>
      </c>
      <c r="H1333" s="8">
        <v>3.85</v>
      </c>
      <c r="I1333" s="4">
        <v>0</v>
      </c>
    </row>
    <row r="1334" spans="1:9" x14ac:dyDescent="0.2">
      <c r="A1334" s="2">
        <v>9</v>
      </c>
      <c r="B1334" s="1" t="s">
        <v>115</v>
      </c>
      <c r="C1334" s="4">
        <v>17</v>
      </c>
      <c r="D1334" s="8">
        <v>3.57</v>
      </c>
      <c r="E1334" s="4">
        <v>14</v>
      </c>
      <c r="F1334" s="8">
        <v>5.32</v>
      </c>
      <c r="G1334" s="4">
        <v>3</v>
      </c>
      <c r="H1334" s="8">
        <v>1.44</v>
      </c>
      <c r="I1334" s="4">
        <v>0</v>
      </c>
    </row>
    <row r="1335" spans="1:9" x14ac:dyDescent="0.2">
      <c r="A1335" s="2">
        <v>10</v>
      </c>
      <c r="B1335" s="1" t="s">
        <v>109</v>
      </c>
      <c r="C1335" s="4">
        <v>13</v>
      </c>
      <c r="D1335" s="8">
        <v>2.73</v>
      </c>
      <c r="E1335" s="4">
        <v>3</v>
      </c>
      <c r="F1335" s="8">
        <v>1.1399999999999999</v>
      </c>
      <c r="G1335" s="4">
        <v>10</v>
      </c>
      <c r="H1335" s="8">
        <v>4.8099999999999996</v>
      </c>
      <c r="I1335" s="4">
        <v>0</v>
      </c>
    </row>
    <row r="1336" spans="1:9" x14ac:dyDescent="0.2">
      <c r="A1336" s="2">
        <v>11</v>
      </c>
      <c r="B1336" s="1" t="s">
        <v>114</v>
      </c>
      <c r="C1336" s="4">
        <v>11</v>
      </c>
      <c r="D1336" s="8">
        <v>2.31</v>
      </c>
      <c r="E1336" s="4">
        <v>7</v>
      </c>
      <c r="F1336" s="8">
        <v>2.66</v>
      </c>
      <c r="G1336" s="4">
        <v>2</v>
      </c>
      <c r="H1336" s="8">
        <v>0.96</v>
      </c>
      <c r="I1336" s="4">
        <v>0</v>
      </c>
    </row>
    <row r="1337" spans="1:9" x14ac:dyDescent="0.2">
      <c r="A1337" s="2">
        <v>12</v>
      </c>
      <c r="B1337" s="1" t="s">
        <v>135</v>
      </c>
      <c r="C1337" s="4">
        <v>9</v>
      </c>
      <c r="D1337" s="8">
        <v>1.89</v>
      </c>
      <c r="E1337" s="4">
        <v>7</v>
      </c>
      <c r="F1337" s="8">
        <v>2.66</v>
      </c>
      <c r="G1337" s="4">
        <v>2</v>
      </c>
      <c r="H1337" s="8">
        <v>0.96</v>
      </c>
      <c r="I1337" s="4">
        <v>0</v>
      </c>
    </row>
    <row r="1338" spans="1:9" x14ac:dyDescent="0.2">
      <c r="A1338" s="2">
        <v>12</v>
      </c>
      <c r="B1338" s="1" t="s">
        <v>101</v>
      </c>
      <c r="C1338" s="4">
        <v>9</v>
      </c>
      <c r="D1338" s="8">
        <v>1.89</v>
      </c>
      <c r="E1338" s="4">
        <v>2</v>
      </c>
      <c r="F1338" s="8">
        <v>0.76</v>
      </c>
      <c r="G1338" s="4">
        <v>7</v>
      </c>
      <c r="H1338" s="8">
        <v>3.37</v>
      </c>
      <c r="I1338" s="4">
        <v>0</v>
      </c>
    </row>
    <row r="1339" spans="1:9" x14ac:dyDescent="0.2">
      <c r="A1339" s="2">
        <v>12</v>
      </c>
      <c r="B1339" s="1" t="s">
        <v>123</v>
      </c>
      <c r="C1339" s="4">
        <v>9</v>
      </c>
      <c r="D1339" s="8">
        <v>1.89</v>
      </c>
      <c r="E1339" s="4">
        <v>7</v>
      </c>
      <c r="F1339" s="8">
        <v>2.66</v>
      </c>
      <c r="G1339" s="4">
        <v>2</v>
      </c>
      <c r="H1339" s="8">
        <v>0.96</v>
      </c>
      <c r="I1339" s="4">
        <v>0</v>
      </c>
    </row>
    <row r="1340" spans="1:9" x14ac:dyDescent="0.2">
      <c r="A1340" s="2">
        <v>15</v>
      </c>
      <c r="B1340" s="1" t="s">
        <v>116</v>
      </c>
      <c r="C1340" s="4">
        <v>8</v>
      </c>
      <c r="D1340" s="8">
        <v>1.68</v>
      </c>
      <c r="E1340" s="4">
        <v>0</v>
      </c>
      <c r="F1340" s="8">
        <v>0</v>
      </c>
      <c r="G1340" s="4">
        <v>5</v>
      </c>
      <c r="H1340" s="8">
        <v>2.4</v>
      </c>
      <c r="I1340" s="4">
        <v>0</v>
      </c>
    </row>
    <row r="1341" spans="1:9" x14ac:dyDescent="0.2">
      <c r="A1341" s="2">
        <v>16</v>
      </c>
      <c r="B1341" s="1" t="s">
        <v>130</v>
      </c>
      <c r="C1341" s="4">
        <v>7</v>
      </c>
      <c r="D1341" s="8">
        <v>1.47</v>
      </c>
      <c r="E1341" s="4">
        <v>4</v>
      </c>
      <c r="F1341" s="8">
        <v>1.52</v>
      </c>
      <c r="G1341" s="4">
        <v>3</v>
      </c>
      <c r="H1341" s="8">
        <v>1.44</v>
      </c>
      <c r="I1341" s="4">
        <v>0</v>
      </c>
    </row>
    <row r="1342" spans="1:9" x14ac:dyDescent="0.2">
      <c r="A1342" s="2">
        <v>16</v>
      </c>
      <c r="B1342" s="1" t="s">
        <v>119</v>
      </c>
      <c r="C1342" s="4">
        <v>7</v>
      </c>
      <c r="D1342" s="8">
        <v>1.47</v>
      </c>
      <c r="E1342" s="4">
        <v>0</v>
      </c>
      <c r="F1342" s="8">
        <v>0</v>
      </c>
      <c r="G1342" s="4">
        <v>7</v>
      </c>
      <c r="H1342" s="8">
        <v>3.37</v>
      </c>
      <c r="I1342" s="4">
        <v>0</v>
      </c>
    </row>
    <row r="1343" spans="1:9" x14ac:dyDescent="0.2">
      <c r="A1343" s="2">
        <v>16</v>
      </c>
      <c r="B1343" s="1" t="s">
        <v>124</v>
      </c>
      <c r="C1343" s="4">
        <v>7</v>
      </c>
      <c r="D1343" s="8">
        <v>1.47</v>
      </c>
      <c r="E1343" s="4">
        <v>4</v>
      </c>
      <c r="F1343" s="8">
        <v>1.52</v>
      </c>
      <c r="G1343" s="4">
        <v>3</v>
      </c>
      <c r="H1343" s="8">
        <v>1.44</v>
      </c>
      <c r="I1343" s="4">
        <v>0</v>
      </c>
    </row>
    <row r="1344" spans="1:9" x14ac:dyDescent="0.2">
      <c r="A1344" s="2">
        <v>16</v>
      </c>
      <c r="B1344" s="1" t="s">
        <v>121</v>
      </c>
      <c r="C1344" s="4">
        <v>7</v>
      </c>
      <c r="D1344" s="8">
        <v>1.47</v>
      </c>
      <c r="E1344" s="4">
        <v>5</v>
      </c>
      <c r="F1344" s="8">
        <v>1.9</v>
      </c>
      <c r="G1344" s="4">
        <v>2</v>
      </c>
      <c r="H1344" s="8">
        <v>0.96</v>
      </c>
      <c r="I1344" s="4">
        <v>0</v>
      </c>
    </row>
    <row r="1345" spans="1:9" x14ac:dyDescent="0.2">
      <c r="A1345" s="2">
        <v>20</v>
      </c>
      <c r="B1345" s="1" t="s">
        <v>111</v>
      </c>
      <c r="C1345" s="4">
        <v>6</v>
      </c>
      <c r="D1345" s="8">
        <v>1.26</v>
      </c>
      <c r="E1345" s="4">
        <v>3</v>
      </c>
      <c r="F1345" s="8">
        <v>1.1399999999999999</v>
      </c>
      <c r="G1345" s="4">
        <v>3</v>
      </c>
      <c r="H1345" s="8">
        <v>1.44</v>
      </c>
      <c r="I1345" s="4">
        <v>0</v>
      </c>
    </row>
    <row r="1346" spans="1:9" x14ac:dyDescent="0.2">
      <c r="A1346" s="1"/>
      <c r="C1346" s="4"/>
      <c r="D1346" s="8"/>
      <c r="E1346" s="4"/>
      <c r="F1346" s="8"/>
      <c r="G1346" s="4"/>
      <c r="H1346" s="8"/>
      <c r="I1346" s="4"/>
    </row>
    <row r="1347" spans="1:9" x14ac:dyDescent="0.2">
      <c r="A1347" s="1" t="s">
        <v>59</v>
      </c>
      <c r="C1347" s="4"/>
      <c r="D1347" s="8"/>
      <c r="E1347" s="4"/>
      <c r="F1347" s="8"/>
      <c r="G1347" s="4"/>
      <c r="H1347" s="8"/>
      <c r="I1347" s="4"/>
    </row>
    <row r="1348" spans="1:9" x14ac:dyDescent="0.2">
      <c r="A1348" s="2">
        <v>1</v>
      </c>
      <c r="B1348" s="1" t="s">
        <v>107</v>
      </c>
      <c r="C1348" s="4">
        <v>26</v>
      </c>
      <c r="D1348" s="8">
        <v>20.8</v>
      </c>
      <c r="E1348" s="4">
        <v>21</v>
      </c>
      <c r="F1348" s="8">
        <v>23.08</v>
      </c>
      <c r="G1348" s="4">
        <v>5</v>
      </c>
      <c r="H1348" s="8">
        <v>15.63</v>
      </c>
      <c r="I1348" s="4">
        <v>0</v>
      </c>
    </row>
    <row r="1349" spans="1:9" x14ac:dyDescent="0.2">
      <c r="A1349" s="2">
        <v>2</v>
      </c>
      <c r="B1349" s="1" t="s">
        <v>136</v>
      </c>
      <c r="C1349" s="4">
        <v>25</v>
      </c>
      <c r="D1349" s="8">
        <v>20</v>
      </c>
      <c r="E1349" s="4">
        <v>16</v>
      </c>
      <c r="F1349" s="8">
        <v>17.579999999999998</v>
      </c>
      <c r="G1349" s="4">
        <v>9</v>
      </c>
      <c r="H1349" s="8">
        <v>28.13</v>
      </c>
      <c r="I1349" s="4">
        <v>0</v>
      </c>
    </row>
    <row r="1350" spans="1:9" x14ac:dyDescent="0.2">
      <c r="A1350" s="2">
        <v>3</v>
      </c>
      <c r="B1350" s="1" t="s">
        <v>98</v>
      </c>
      <c r="C1350" s="4">
        <v>12</v>
      </c>
      <c r="D1350" s="8">
        <v>9.6</v>
      </c>
      <c r="E1350" s="4">
        <v>8</v>
      </c>
      <c r="F1350" s="8">
        <v>8.7899999999999991</v>
      </c>
      <c r="G1350" s="4">
        <v>4</v>
      </c>
      <c r="H1350" s="8">
        <v>12.5</v>
      </c>
      <c r="I1350" s="4">
        <v>0</v>
      </c>
    </row>
    <row r="1351" spans="1:9" x14ac:dyDescent="0.2">
      <c r="A1351" s="2">
        <v>3</v>
      </c>
      <c r="B1351" s="1" t="s">
        <v>112</v>
      </c>
      <c r="C1351" s="4">
        <v>12</v>
      </c>
      <c r="D1351" s="8">
        <v>9.6</v>
      </c>
      <c r="E1351" s="4">
        <v>10</v>
      </c>
      <c r="F1351" s="8">
        <v>10.99</v>
      </c>
      <c r="G1351" s="4">
        <v>2</v>
      </c>
      <c r="H1351" s="8">
        <v>6.25</v>
      </c>
      <c r="I1351" s="4">
        <v>0</v>
      </c>
    </row>
    <row r="1352" spans="1:9" x14ac:dyDescent="0.2">
      <c r="A1352" s="2">
        <v>5</v>
      </c>
      <c r="B1352" s="1" t="s">
        <v>110</v>
      </c>
      <c r="C1352" s="4">
        <v>7</v>
      </c>
      <c r="D1352" s="8">
        <v>5.6</v>
      </c>
      <c r="E1352" s="4">
        <v>7</v>
      </c>
      <c r="F1352" s="8">
        <v>7.69</v>
      </c>
      <c r="G1352" s="4">
        <v>0</v>
      </c>
      <c r="H1352" s="8">
        <v>0</v>
      </c>
      <c r="I1352" s="4">
        <v>0</v>
      </c>
    </row>
    <row r="1353" spans="1:9" x14ac:dyDescent="0.2">
      <c r="A1353" s="2">
        <v>6</v>
      </c>
      <c r="B1353" s="1" t="s">
        <v>113</v>
      </c>
      <c r="C1353" s="4">
        <v>6</v>
      </c>
      <c r="D1353" s="8">
        <v>4.8</v>
      </c>
      <c r="E1353" s="4">
        <v>6</v>
      </c>
      <c r="F1353" s="8">
        <v>6.59</v>
      </c>
      <c r="G1353" s="4">
        <v>0</v>
      </c>
      <c r="H1353" s="8">
        <v>0</v>
      </c>
      <c r="I1353" s="4">
        <v>0</v>
      </c>
    </row>
    <row r="1354" spans="1:9" x14ac:dyDescent="0.2">
      <c r="A1354" s="2">
        <v>7</v>
      </c>
      <c r="B1354" s="1" t="s">
        <v>105</v>
      </c>
      <c r="C1354" s="4">
        <v>5</v>
      </c>
      <c r="D1354" s="8">
        <v>4</v>
      </c>
      <c r="E1354" s="4">
        <v>5</v>
      </c>
      <c r="F1354" s="8">
        <v>5.49</v>
      </c>
      <c r="G1354" s="4">
        <v>0</v>
      </c>
      <c r="H1354" s="8">
        <v>0</v>
      </c>
      <c r="I1354" s="4">
        <v>0</v>
      </c>
    </row>
    <row r="1355" spans="1:9" x14ac:dyDescent="0.2">
      <c r="A1355" s="2">
        <v>8</v>
      </c>
      <c r="B1355" s="1" t="s">
        <v>114</v>
      </c>
      <c r="C1355" s="4">
        <v>4</v>
      </c>
      <c r="D1355" s="8">
        <v>3.2</v>
      </c>
      <c r="E1355" s="4">
        <v>2</v>
      </c>
      <c r="F1355" s="8">
        <v>2.2000000000000002</v>
      </c>
      <c r="G1355" s="4">
        <v>2</v>
      </c>
      <c r="H1355" s="8">
        <v>6.25</v>
      </c>
      <c r="I1355" s="4">
        <v>0</v>
      </c>
    </row>
    <row r="1356" spans="1:9" x14ac:dyDescent="0.2">
      <c r="A1356" s="2">
        <v>9</v>
      </c>
      <c r="B1356" s="1" t="s">
        <v>99</v>
      </c>
      <c r="C1356" s="4">
        <v>3</v>
      </c>
      <c r="D1356" s="8">
        <v>2.4</v>
      </c>
      <c r="E1356" s="4">
        <v>3</v>
      </c>
      <c r="F1356" s="8">
        <v>3.3</v>
      </c>
      <c r="G1356" s="4">
        <v>0</v>
      </c>
      <c r="H1356" s="8">
        <v>0</v>
      </c>
      <c r="I1356" s="4">
        <v>0</v>
      </c>
    </row>
    <row r="1357" spans="1:9" x14ac:dyDescent="0.2">
      <c r="A1357" s="2">
        <v>9</v>
      </c>
      <c r="B1357" s="1" t="s">
        <v>135</v>
      </c>
      <c r="C1357" s="4">
        <v>3</v>
      </c>
      <c r="D1357" s="8">
        <v>2.4</v>
      </c>
      <c r="E1357" s="4">
        <v>0</v>
      </c>
      <c r="F1357" s="8">
        <v>0</v>
      </c>
      <c r="G1357" s="4">
        <v>2</v>
      </c>
      <c r="H1357" s="8">
        <v>6.25</v>
      </c>
      <c r="I1357" s="4">
        <v>1</v>
      </c>
    </row>
    <row r="1358" spans="1:9" x14ac:dyDescent="0.2">
      <c r="A1358" s="2">
        <v>9</v>
      </c>
      <c r="B1358" s="1" t="s">
        <v>106</v>
      </c>
      <c r="C1358" s="4">
        <v>3</v>
      </c>
      <c r="D1358" s="8">
        <v>2.4</v>
      </c>
      <c r="E1358" s="4">
        <v>3</v>
      </c>
      <c r="F1358" s="8">
        <v>3.3</v>
      </c>
      <c r="G1358" s="4">
        <v>0</v>
      </c>
      <c r="H1358" s="8">
        <v>0</v>
      </c>
      <c r="I1358" s="4">
        <v>0</v>
      </c>
    </row>
    <row r="1359" spans="1:9" x14ac:dyDescent="0.2">
      <c r="A1359" s="2">
        <v>9</v>
      </c>
      <c r="B1359" s="1" t="s">
        <v>123</v>
      </c>
      <c r="C1359" s="4">
        <v>3</v>
      </c>
      <c r="D1359" s="8">
        <v>2.4</v>
      </c>
      <c r="E1359" s="4">
        <v>3</v>
      </c>
      <c r="F1359" s="8">
        <v>3.3</v>
      </c>
      <c r="G1359" s="4">
        <v>0</v>
      </c>
      <c r="H1359" s="8">
        <v>0</v>
      </c>
      <c r="I1359" s="4">
        <v>0</v>
      </c>
    </row>
    <row r="1360" spans="1:9" x14ac:dyDescent="0.2">
      <c r="A1360" s="2">
        <v>13</v>
      </c>
      <c r="B1360" s="1" t="s">
        <v>100</v>
      </c>
      <c r="C1360" s="4">
        <v>2</v>
      </c>
      <c r="D1360" s="8">
        <v>1.6</v>
      </c>
      <c r="E1360" s="4">
        <v>2</v>
      </c>
      <c r="F1360" s="8">
        <v>2.2000000000000002</v>
      </c>
      <c r="G1360" s="4">
        <v>0</v>
      </c>
      <c r="H1360" s="8">
        <v>0</v>
      </c>
      <c r="I1360" s="4">
        <v>0</v>
      </c>
    </row>
    <row r="1361" spans="1:9" x14ac:dyDescent="0.2">
      <c r="A1361" s="2">
        <v>13</v>
      </c>
      <c r="B1361" s="1" t="s">
        <v>130</v>
      </c>
      <c r="C1361" s="4">
        <v>2</v>
      </c>
      <c r="D1361" s="8">
        <v>1.6</v>
      </c>
      <c r="E1361" s="4">
        <v>0</v>
      </c>
      <c r="F1361" s="8">
        <v>0</v>
      </c>
      <c r="G1361" s="4">
        <v>2</v>
      </c>
      <c r="H1361" s="8">
        <v>6.25</v>
      </c>
      <c r="I1361" s="4">
        <v>0</v>
      </c>
    </row>
    <row r="1362" spans="1:9" x14ac:dyDescent="0.2">
      <c r="A1362" s="2">
        <v>13</v>
      </c>
      <c r="B1362" s="1" t="s">
        <v>138</v>
      </c>
      <c r="C1362" s="4">
        <v>2</v>
      </c>
      <c r="D1362" s="8">
        <v>1.6</v>
      </c>
      <c r="E1362" s="4">
        <v>0</v>
      </c>
      <c r="F1362" s="8">
        <v>0</v>
      </c>
      <c r="G1362" s="4">
        <v>2</v>
      </c>
      <c r="H1362" s="8">
        <v>6.25</v>
      </c>
      <c r="I1362" s="4">
        <v>0</v>
      </c>
    </row>
    <row r="1363" spans="1:9" x14ac:dyDescent="0.2">
      <c r="A1363" s="2">
        <v>13</v>
      </c>
      <c r="B1363" s="1" t="s">
        <v>115</v>
      </c>
      <c r="C1363" s="4">
        <v>2</v>
      </c>
      <c r="D1363" s="8">
        <v>1.6</v>
      </c>
      <c r="E1363" s="4">
        <v>2</v>
      </c>
      <c r="F1363" s="8">
        <v>2.2000000000000002</v>
      </c>
      <c r="G1363" s="4">
        <v>0</v>
      </c>
      <c r="H1363" s="8">
        <v>0</v>
      </c>
      <c r="I1363" s="4">
        <v>0</v>
      </c>
    </row>
    <row r="1364" spans="1:9" x14ac:dyDescent="0.2">
      <c r="A1364" s="2">
        <v>17</v>
      </c>
      <c r="B1364" s="1" t="s">
        <v>133</v>
      </c>
      <c r="C1364" s="4">
        <v>1</v>
      </c>
      <c r="D1364" s="8">
        <v>0.8</v>
      </c>
      <c r="E1364" s="4">
        <v>1</v>
      </c>
      <c r="F1364" s="8">
        <v>1.1000000000000001</v>
      </c>
      <c r="G1364" s="4">
        <v>0</v>
      </c>
      <c r="H1364" s="8">
        <v>0</v>
      </c>
      <c r="I1364" s="4">
        <v>0</v>
      </c>
    </row>
    <row r="1365" spans="1:9" x14ac:dyDescent="0.2">
      <c r="A1365" s="2">
        <v>17</v>
      </c>
      <c r="B1365" s="1" t="s">
        <v>131</v>
      </c>
      <c r="C1365" s="4">
        <v>1</v>
      </c>
      <c r="D1365" s="8">
        <v>0.8</v>
      </c>
      <c r="E1365" s="4">
        <v>0</v>
      </c>
      <c r="F1365" s="8">
        <v>0</v>
      </c>
      <c r="G1365" s="4">
        <v>1</v>
      </c>
      <c r="H1365" s="8">
        <v>3.13</v>
      </c>
      <c r="I1365" s="4">
        <v>0</v>
      </c>
    </row>
    <row r="1366" spans="1:9" x14ac:dyDescent="0.2">
      <c r="A1366" s="2">
        <v>17</v>
      </c>
      <c r="B1366" s="1" t="s">
        <v>129</v>
      </c>
      <c r="C1366" s="4">
        <v>1</v>
      </c>
      <c r="D1366" s="8">
        <v>0.8</v>
      </c>
      <c r="E1366" s="4">
        <v>1</v>
      </c>
      <c r="F1366" s="8">
        <v>1.1000000000000001</v>
      </c>
      <c r="G1366" s="4">
        <v>0</v>
      </c>
      <c r="H1366" s="8">
        <v>0</v>
      </c>
      <c r="I1366" s="4">
        <v>0</v>
      </c>
    </row>
    <row r="1367" spans="1:9" x14ac:dyDescent="0.2">
      <c r="A1367" s="2">
        <v>17</v>
      </c>
      <c r="B1367" s="1" t="s">
        <v>145</v>
      </c>
      <c r="C1367" s="4">
        <v>1</v>
      </c>
      <c r="D1367" s="8">
        <v>0.8</v>
      </c>
      <c r="E1367" s="4">
        <v>0</v>
      </c>
      <c r="F1367" s="8">
        <v>0</v>
      </c>
      <c r="G1367" s="4">
        <v>1</v>
      </c>
      <c r="H1367" s="8">
        <v>3.13</v>
      </c>
      <c r="I1367" s="4">
        <v>0</v>
      </c>
    </row>
    <row r="1368" spans="1:9" x14ac:dyDescent="0.2">
      <c r="A1368" s="2">
        <v>17</v>
      </c>
      <c r="B1368" s="1" t="s">
        <v>148</v>
      </c>
      <c r="C1368" s="4">
        <v>1</v>
      </c>
      <c r="D1368" s="8">
        <v>0.8</v>
      </c>
      <c r="E1368" s="4">
        <v>0</v>
      </c>
      <c r="F1368" s="8">
        <v>0</v>
      </c>
      <c r="G1368" s="4">
        <v>0</v>
      </c>
      <c r="H1368" s="8">
        <v>0</v>
      </c>
      <c r="I1368" s="4">
        <v>0</v>
      </c>
    </row>
    <row r="1369" spans="1:9" x14ac:dyDescent="0.2">
      <c r="A1369" s="2">
        <v>17</v>
      </c>
      <c r="B1369" s="1" t="s">
        <v>102</v>
      </c>
      <c r="C1369" s="4">
        <v>1</v>
      </c>
      <c r="D1369" s="8">
        <v>0.8</v>
      </c>
      <c r="E1369" s="4">
        <v>1</v>
      </c>
      <c r="F1369" s="8">
        <v>1.1000000000000001</v>
      </c>
      <c r="G1369" s="4">
        <v>0</v>
      </c>
      <c r="H1369" s="8">
        <v>0</v>
      </c>
      <c r="I1369" s="4">
        <v>0</v>
      </c>
    </row>
    <row r="1370" spans="1:9" x14ac:dyDescent="0.2">
      <c r="A1370" s="2">
        <v>17</v>
      </c>
      <c r="B1370" s="1" t="s">
        <v>126</v>
      </c>
      <c r="C1370" s="4">
        <v>1</v>
      </c>
      <c r="D1370" s="8">
        <v>0.8</v>
      </c>
      <c r="E1370" s="4">
        <v>0</v>
      </c>
      <c r="F1370" s="8">
        <v>0</v>
      </c>
      <c r="G1370" s="4">
        <v>1</v>
      </c>
      <c r="H1370" s="8">
        <v>3.13</v>
      </c>
      <c r="I1370" s="4">
        <v>0</v>
      </c>
    </row>
    <row r="1371" spans="1:9" x14ac:dyDescent="0.2">
      <c r="A1371" s="2">
        <v>17</v>
      </c>
      <c r="B1371" s="1" t="s">
        <v>121</v>
      </c>
      <c r="C1371" s="4">
        <v>1</v>
      </c>
      <c r="D1371" s="8">
        <v>0.8</v>
      </c>
      <c r="E1371" s="4">
        <v>0</v>
      </c>
      <c r="F1371" s="8">
        <v>0</v>
      </c>
      <c r="G1371" s="4">
        <v>1</v>
      </c>
      <c r="H1371" s="8">
        <v>3.13</v>
      </c>
      <c r="I1371" s="4">
        <v>0</v>
      </c>
    </row>
    <row r="1372" spans="1:9" x14ac:dyDescent="0.2">
      <c r="A1372" s="1"/>
      <c r="C1372" s="4"/>
      <c r="D1372" s="8"/>
      <c r="E1372" s="4"/>
      <c r="F1372" s="8"/>
      <c r="G1372" s="4"/>
      <c r="H1372" s="8"/>
      <c r="I1372" s="4"/>
    </row>
    <row r="1373" spans="1:9" x14ac:dyDescent="0.2">
      <c r="A1373" s="1" t="s">
        <v>60</v>
      </c>
      <c r="C1373" s="4"/>
      <c r="D1373" s="8"/>
      <c r="E1373" s="4"/>
      <c r="F1373" s="8"/>
      <c r="G1373" s="4"/>
      <c r="H1373" s="8"/>
      <c r="I1373" s="4"/>
    </row>
    <row r="1374" spans="1:9" x14ac:dyDescent="0.2">
      <c r="A1374" s="2">
        <v>1</v>
      </c>
      <c r="B1374" s="1" t="s">
        <v>98</v>
      </c>
      <c r="C1374" s="4">
        <v>29</v>
      </c>
      <c r="D1374" s="8">
        <v>11.28</v>
      </c>
      <c r="E1374" s="4">
        <v>11</v>
      </c>
      <c r="F1374" s="8">
        <v>7.59</v>
      </c>
      <c r="G1374" s="4">
        <v>18</v>
      </c>
      <c r="H1374" s="8">
        <v>16.82</v>
      </c>
      <c r="I1374" s="4">
        <v>0</v>
      </c>
    </row>
    <row r="1375" spans="1:9" x14ac:dyDescent="0.2">
      <c r="A1375" s="2">
        <v>2</v>
      </c>
      <c r="B1375" s="1" t="s">
        <v>113</v>
      </c>
      <c r="C1375" s="4">
        <v>26</v>
      </c>
      <c r="D1375" s="8">
        <v>10.119999999999999</v>
      </c>
      <c r="E1375" s="4">
        <v>22</v>
      </c>
      <c r="F1375" s="8">
        <v>15.17</v>
      </c>
      <c r="G1375" s="4">
        <v>4</v>
      </c>
      <c r="H1375" s="8">
        <v>3.74</v>
      </c>
      <c r="I1375" s="4">
        <v>0</v>
      </c>
    </row>
    <row r="1376" spans="1:9" x14ac:dyDescent="0.2">
      <c r="A1376" s="2">
        <v>3</v>
      </c>
      <c r="B1376" s="1" t="s">
        <v>105</v>
      </c>
      <c r="C1376" s="4">
        <v>16</v>
      </c>
      <c r="D1376" s="8">
        <v>6.23</v>
      </c>
      <c r="E1376" s="4">
        <v>13</v>
      </c>
      <c r="F1376" s="8">
        <v>8.9700000000000006</v>
      </c>
      <c r="G1376" s="4">
        <v>3</v>
      </c>
      <c r="H1376" s="8">
        <v>2.8</v>
      </c>
      <c r="I1376" s="4">
        <v>0</v>
      </c>
    </row>
    <row r="1377" spans="1:9" x14ac:dyDescent="0.2">
      <c r="A1377" s="2">
        <v>4</v>
      </c>
      <c r="B1377" s="1" t="s">
        <v>123</v>
      </c>
      <c r="C1377" s="4">
        <v>15</v>
      </c>
      <c r="D1377" s="8">
        <v>5.84</v>
      </c>
      <c r="E1377" s="4">
        <v>15</v>
      </c>
      <c r="F1377" s="8">
        <v>10.34</v>
      </c>
      <c r="G1377" s="4">
        <v>0</v>
      </c>
      <c r="H1377" s="8">
        <v>0</v>
      </c>
      <c r="I1377" s="4">
        <v>0</v>
      </c>
    </row>
    <row r="1378" spans="1:9" x14ac:dyDescent="0.2">
      <c r="A1378" s="2">
        <v>5</v>
      </c>
      <c r="B1378" s="1" t="s">
        <v>107</v>
      </c>
      <c r="C1378" s="4">
        <v>13</v>
      </c>
      <c r="D1378" s="8">
        <v>5.0599999999999996</v>
      </c>
      <c r="E1378" s="4">
        <v>8</v>
      </c>
      <c r="F1378" s="8">
        <v>5.52</v>
      </c>
      <c r="G1378" s="4">
        <v>5</v>
      </c>
      <c r="H1378" s="8">
        <v>4.67</v>
      </c>
      <c r="I1378" s="4">
        <v>0</v>
      </c>
    </row>
    <row r="1379" spans="1:9" x14ac:dyDescent="0.2">
      <c r="A1379" s="2">
        <v>6</v>
      </c>
      <c r="B1379" s="1" t="s">
        <v>100</v>
      </c>
      <c r="C1379" s="4">
        <v>11</v>
      </c>
      <c r="D1379" s="8">
        <v>4.28</v>
      </c>
      <c r="E1379" s="4">
        <v>4</v>
      </c>
      <c r="F1379" s="8">
        <v>2.76</v>
      </c>
      <c r="G1379" s="4">
        <v>7</v>
      </c>
      <c r="H1379" s="8">
        <v>6.54</v>
      </c>
      <c r="I1379" s="4">
        <v>0</v>
      </c>
    </row>
    <row r="1380" spans="1:9" x14ac:dyDescent="0.2">
      <c r="A1380" s="2">
        <v>6</v>
      </c>
      <c r="B1380" s="1" t="s">
        <v>106</v>
      </c>
      <c r="C1380" s="4">
        <v>11</v>
      </c>
      <c r="D1380" s="8">
        <v>4.28</v>
      </c>
      <c r="E1380" s="4">
        <v>11</v>
      </c>
      <c r="F1380" s="8">
        <v>7.59</v>
      </c>
      <c r="G1380" s="4">
        <v>0</v>
      </c>
      <c r="H1380" s="8">
        <v>0</v>
      </c>
      <c r="I1380" s="4">
        <v>0</v>
      </c>
    </row>
    <row r="1381" spans="1:9" x14ac:dyDescent="0.2">
      <c r="A1381" s="2">
        <v>8</v>
      </c>
      <c r="B1381" s="1" t="s">
        <v>114</v>
      </c>
      <c r="C1381" s="4">
        <v>10</v>
      </c>
      <c r="D1381" s="8">
        <v>3.89</v>
      </c>
      <c r="E1381" s="4">
        <v>10</v>
      </c>
      <c r="F1381" s="8">
        <v>6.9</v>
      </c>
      <c r="G1381" s="4">
        <v>0</v>
      </c>
      <c r="H1381" s="8">
        <v>0</v>
      </c>
      <c r="I1381" s="4">
        <v>0</v>
      </c>
    </row>
    <row r="1382" spans="1:9" x14ac:dyDescent="0.2">
      <c r="A1382" s="2">
        <v>8</v>
      </c>
      <c r="B1382" s="1" t="s">
        <v>115</v>
      </c>
      <c r="C1382" s="4">
        <v>10</v>
      </c>
      <c r="D1382" s="8">
        <v>3.89</v>
      </c>
      <c r="E1382" s="4">
        <v>8</v>
      </c>
      <c r="F1382" s="8">
        <v>5.52</v>
      </c>
      <c r="G1382" s="4">
        <v>2</v>
      </c>
      <c r="H1382" s="8">
        <v>1.87</v>
      </c>
      <c r="I1382" s="4">
        <v>0</v>
      </c>
    </row>
    <row r="1383" spans="1:9" x14ac:dyDescent="0.2">
      <c r="A1383" s="2">
        <v>10</v>
      </c>
      <c r="B1383" s="1" t="s">
        <v>99</v>
      </c>
      <c r="C1383" s="4">
        <v>9</v>
      </c>
      <c r="D1383" s="8">
        <v>3.5</v>
      </c>
      <c r="E1383" s="4">
        <v>5</v>
      </c>
      <c r="F1383" s="8">
        <v>3.45</v>
      </c>
      <c r="G1383" s="4">
        <v>4</v>
      </c>
      <c r="H1383" s="8">
        <v>3.74</v>
      </c>
      <c r="I1383" s="4">
        <v>0</v>
      </c>
    </row>
    <row r="1384" spans="1:9" x14ac:dyDescent="0.2">
      <c r="A1384" s="2">
        <v>10</v>
      </c>
      <c r="B1384" s="1" t="s">
        <v>112</v>
      </c>
      <c r="C1384" s="4">
        <v>9</v>
      </c>
      <c r="D1384" s="8">
        <v>3.5</v>
      </c>
      <c r="E1384" s="4">
        <v>9</v>
      </c>
      <c r="F1384" s="8">
        <v>6.21</v>
      </c>
      <c r="G1384" s="4">
        <v>0</v>
      </c>
      <c r="H1384" s="8">
        <v>0</v>
      </c>
      <c r="I1384" s="4">
        <v>0</v>
      </c>
    </row>
    <row r="1385" spans="1:9" x14ac:dyDescent="0.2">
      <c r="A1385" s="2">
        <v>12</v>
      </c>
      <c r="B1385" s="1" t="s">
        <v>137</v>
      </c>
      <c r="C1385" s="4">
        <v>7</v>
      </c>
      <c r="D1385" s="8">
        <v>2.72</v>
      </c>
      <c r="E1385" s="4">
        <v>2</v>
      </c>
      <c r="F1385" s="8">
        <v>1.38</v>
      </c>
      <c r="G1385" s="4">
        <v>5</v>
      </c>
      <c r="H1385" s="8">
        <v>4.67</v>
      </c>
      <c r="I1385" s="4">
        <v>0</v>
      </c>
    </row>
    <row r="1386" spans="1:9" x14ac:dyDescent="0.2">
      <c r="A1386" s="2">
        <v>12</v>
      </c>
      <c r="B1386" s="1" t="s">
        <v>116</v>
      </c>
      <c r="C1386" s="4">
        <v>7</v>
      </c>
      <c r="D1386" s="8">
        <v>2.72</v>
      </c>
      <c r="E1386" s="4">
        <v>0</v>
      </c>
      <c r="F1386" s="8">
        <v>0</v>
      </c>
      <c r="G1386" s="4">
        <v>6</v>
      </c>
      <c r="H1386" s="8">
        <v>5.61</v>
      </c>
      <c r="I1386" s="4">
        <v>0</v>
      </c>
    </row>
    <row r="1387" spans="1:9" x14ac:dyDescent="0.2">
      <c r="A1387" s="2">
        <v>14</v>
      </c>
      <c r="B1387" s="1" t="s">
        <v>102</v>
      </c>
      <c r="C1387" s="4">
        <v>6</v>
      </c>
      <c r="D1387" s="8">
        <v>2.33</v>
      </c>
      <c r="E1387" s="4">
        <v>1</v>
      </c>
      <c r="F1387" s="8">
        <v>0.69</v>
      </c>
      <c r="G1387" s="4">
        <v>5</v>
      </c>
      <c r="H1387" s="8">
        <v>4.67</v>
      </c>
      <c r="I1387" s="4">
        <v>0</v>
      </c>
    </row>
    <row r="1388" spans="1:9" x14ac:dyDescent="0.2">
      <c r="A1388" s="2">
        <v>14</v>
      </c>
      <c r="B1388" s="1" t="s">
        <v>103</v>
      </c>
      <c r="C1388" s="4">
        <v>6</v>
      </c>
      <c r="D1388" s="8">
        <v>2.33</v>
      </c>
      <c r="E1388" s="4">
        <v>2</v>
      </c>
      <c r="F1388" s="8">
        <v>1.38</v>
      </c>
      <c r="G1388" s="4">
        <v>4</v>
      </c>
      <c r="H1388" s="8">
        <v>3.74</v>
      </c>
      <c r="I1388" s="4">
        <v>0</v>
      </c>
    </row>
    <row r="1389" spans="1:9" x14ac:dyDescent="0.2">
      <c r="A1389" s="2">
        <v>16</v>
      </c>
      <c r="B1389" s="1" t="s">
        <v>119</v>
      </c>
      <c r="C1389" s="4">
        <v>5</v>
      </c>
      <c r="D1389" s="8">
        <v>1.95</v>
      </c>
      <c r="E1389" s="4">
        <v>0</v>
      </c>
      <c r="F1389" s="8">
        <v>0</v>
      </c>
      <c r="G1389" s="4">
        <v>5</v>
      </c>
      <c r="H1389" s="8">
        <v>4.67</v>
      </c>
      <c r="I1389" s="4">
        <v>0</v>
      </c>
    </row>
    <row r="1390" spans="1:9" x14ac:dyDescent="0.2">
      <c r="A1390" s="2">
        <v>16</v>
      </c>
      <c r="B1390" s="1" t="s">
        <v>124</v>
      </c>
      <c r="C1390" s="4">
        <v>5</v>
      </c>
      <c r="D1390" s="8">
        <v>1.95</v>
      </c>
      <c r="E1390" s="4">
        <v>1</v>
      </c>
      <c r="F1390" s="8">
        <v>0.69</v>
      </c>
      <c r="G1390" s="4">
        <v>4</v>
      </c>
      <c r="H1390" s="8">
        <v>3.74</v>
      </c>
      <c r="I1390" s="4">
        <v>0</v>
      </c>
    </row>
    <row r="1391" spans="1:9" x14ac:dyDescent="0.2">
      <c r="A1391" s="2">
        <v>16</v>
      </c>
      <c r="B1391" s="1" t="s">
        <v>118</v>
      </c>
      <c r="C1391" s="4">
        <v>5</v>
      </c>
      <c r="D1391" s="8">
        <v>1.95</v>
      </c>
      <c r="E1391" s="4">
        <v>4</v>
      </c>
      <c r="F1391" s="8">
        <v>2.76</v>
      </c>
      <c r="G1391" s="4">
        <v>1</v>
      </c>
      <c r="H1391" s="8">
        <v>0.93</v>
      </c>
      <c r="I1391" s="4">
        <v>0</v>
      </c>
    </row>
    <row r="1392" spans="1:9" x14ac:dyDescent="0.2">
      <c r="A1392" s="2">
        <v>19</v>
      </c>
      <c r="B1392" s="1" t="s">
        <v>129</v>
      </c>
      <c r="C1392" s="4">
        <v>4</v>
      </c>
      <c r="D1392" s="8">
        <v>1.56</v>
      </c>
      <c r="E1392" s="4">
        <v>0</v>
      </c>
      <c r="F1392" s="8">
        <v>0</v>
      </c>
      <c r="G1392" s="4">
        <v>4</v>
      </c>
      <c r="H1392" s="8">
        <v>3.74</v>
      </c>
      <c r="I1392" s="4">
        <v>0</v>
      </c>
    </row>
    <row r="1393" spans="1:9" x14ac:dyDescent="0.2">
      <c r="A1393" s="2">
        <v>19</v>
      </c>
      <c r="B1393" s="1" t="s">
        <v>108</v>
      </c>
      <c r="C1393" s="4">
        <v>4</v>
      </c>
      <c r="D1393" s="8">
        <v>1.56</v>
      </c>
      <c r="E1393" s="4">
        <v>1</v>
      </c>
      <c r="F1393" s="8">
        <v>0.69</v>
      </c>
      <c r="G1393" s="4">
        <v>3</v>
      </c>
      <c r="H1393" s="8">
        <v>2.8</v>
      </c>
      <c r="I1393" s="4">
        <v>0</v>
      </c>
    </row>
    <row r="1394" spans="1:9" x14ac:dyDescent="0.2">
      <c r="A1394" s="2">
        <v>19</v>
      </c>
      <c r="B1394" s="1" t="s">
        <v>149</v>
      </c>
      <c r="C1394" s="4">
        <v>4</v>
      </c>
      <c r="D1394" s="8">
        <v>1.56</v>
      </c>
      <c r="E1394" s="4">
        <v>0</v>
      </c>
      <c r="F1394" s="8">
        <v>0</v>
      </c>
      <c r="G1394" s="4">
        <v>0</v>
      </c>
      <c r="H1394" s="8">
        <v>0</v>
      </c>
      <c r="I1394" s="4">
        <v>4</v>
      </c>
    </row>
    <row r="1395" spans="1:9" x14ac:dyDescent="0.2">
      <c r="A1395" s="1"/>
      <c r="C1395" s="4"/>
      <c r="D1395" s="8"/>
      <c r="E1395" s="4"/>
      <c r="F1395" s="8"/>
      <c r="G1395" s="4"/>
      <c r="H1395" s="8"/>
      <c r="I1395" s="4"/>
    </row>
    <row r="1396" spans="1:9" x14ac:dyDescent="0.2">
      <c r="A1396" s="1" t="s">
        <v>61</v>
      </c>
      <c r="C1396" s="4"/>
      <c r="D1396" s="8"/>
      <c r="E1396" s="4"/>
      <c r="F1396" s="8"/>
      <c r="G1396" s="4"/>
      <c r="H1396" s="8"/>
      <c r="I1396" s="4"/>
    </row>
    <row r="1397" spans="1:9" x14ac:dyDescent="0.2">
      <c r="A1397" s="2">
        <v>1</v>
      </c>
      <c r="B1397" s="1" t="s">
        <v>113</v>
      </c>
      <c r="C1397" s="4">
        <v>28</v>
      </c>
      <c r="D1397" s="8">
        <v>8.89</v>
      </c>
      <c r="E1397" s="4">
        <v>25</v>
      </c>
      <c r="F1397" s="8">
        <v>12.02</v>
      </c>
      <c r="G1397" s="4">
        <v>3</v>
      </c>
      <c r="H1397" s="8">
        <v>2.94</v>
      </c>
      <c r="I1397" s="4">
        <v>0</v>
      </c>
    </row>
    <row r="1398" spans="1:9" x14ac:dyDescent="0.2">
      <c r="A1398" s="2">
        <v>2</v>
      </c>
      <c r="B1398" s="1" t="s">
        <v>107</v>
      </c>
      <c r="C1398" s="4">
        <v>25</v>
      </c>
      <c r="D1398" s="8">
        <v>7.94</v>
      </c>
      <c r="E1398" s="4">
        <v>16</v>
      </c>
      <c r="F1398" s="8">
        <v>7.69</v>
      </c>
      <c r="G1398" s="4">
        <v>9</v>
      </c>
      <c r="H1398" s="8">
        <v>8.82</v>
      </c>
      <c r="I1398" s="4">
        <v>0</v>
      </c>
    </row>
    <row r="1399" spans="1:9" x14ac:dyDescent="0.2">
      <c r="A1399" s="2">
        <v>3</v>
      </c>
      <c r="B1399" s="1" t="s">
        <v>109</v>
      </c>
      <c r="C1399" s="4">
        <v>23</v>
      </c>
      <c r="D1399" s="8">
        <v>7.3</v>
      </c>
      <c r="E1399" s="4">
        <v>18</v>
      </c>
      <c r="F1399" s="8">
        <v>8.65</v>
      </c>
      <c r="G1399" s="4">
        <v>5</v>
      </c>
      <c r="H1399" s="8">
        <v>4.9000000000000004</v>
      </c>
      <c r="I1399" s="4">
        <v>0</v>
      </c>
    </row>
    <row r="1400" spans="1:9" x14ac:dyDescent="0.2">
      <c r="A1400" s="2">
        <v>4</v>
      </c>
      <c r="B1400" s="1" t="s">
        <v>106</v>
      </c>
      <c r="C1400" s="4">
        <v>22</v>
      </c>
      <c r="D1400" s="8">
        <v>6.98</v>
      </c>
      <c r="E1400" s="4">
        <v>19</v>
      </c>
      <c r="F1400" s="8">
        <v>9.1300000000000008</v>
      </c>
      <c r="G1400" s="4">
        <v>3</v>
      </c>
      <c r="H1400" s="8">
        <v>2.94</v>
      </c>
      <c r="I1400" s="4">
        <v>0</v>
      </c>
    </row>
    <row r="1401" spans="1:9" x14ac:dyDescent="0.2">
      <c r="A1401" s="2">
        <v>5</v>
      </c>
      <c r="B1401" s="1" t="s">
        <v>98</v>
      </c>
      <c r="C1401" s="4">
        <v>19</v>
      </c>
      <c r="D1401" s="8">
        <v>6.03</v>
      </c>
      <c r="E1401" s="4">
        <v>9</v>
      </c>
      <c r="F1401" s="8">
        <v>4.33</v>
      </c>
      <c r="G1401" s="4">
        <v>10</v>
      </c>
      <c r="H1401" s="8">
        <v>9.8000000000000007</v>
      </c>
      <c r="I1401" s="4">
        <v>0</v>
      </c>
    </row>
    <row r="1402" spans="1:9" x14ac:dyDescent="0.2">
      <c r="A1402" s="2">
        <v>6</v>
      </c>
      <c r="B1402" s="1" t="s">
        <v>99</v>
      </c>
      <c r="C1402" s="4">
        <v>15</v>
      </c>
      <c r="D1402" s="8">
        <v>4.76</v>
      </c>
      <c r="E1402" s="4">
        <v>11</v>
      </c>
      <c r="F1402" s="8">
        <v>5.29</v>
      </c>
      <c r="G1402" s="4">
        <v>4</v>
      </c>
      <c r="H1402" s="8">
        <v>3.92</v>
      </c>
      <c r="I1402" s="4">
        <v>0</v>
      </c>
    </row>
    <row r="1403" spans="1:9" x14ac:dyDescent="0.2">
      <c r="A1403" s="2">
        <v>6</v>
      </c>
      <c r="B1403" s="1" t="s">
        <v>114</v>
      </c>
      <c r="C1403" s="4">
        <v>15</v>
      </c>
      <c r="D1403" s="8">
        <v>4.76</v>
      </c>
      <c r="E1403" s="4">
        <v>10</v>
      </c>
      <c r="F1403" s="8">
        <v>4.8099999999999996</v>
      </c>
      <c r="G1403" s="4">
        <v>5</v>
      </c>
      <c r="H1403" s="8">
        <v>4.9000000000000004</v>
      </c>
      <c r="I1403" s="4">
        <v>0</v>
      </c>
    </row>
    <row r="1404" spans="1:9" x14ac:dyDescent="0.2">
      <c r="A1404" s="2">
        <v>8</v>
      </c>
      <c r="B1404" s="1" t="s">
        <v>132</v>
      </c>
      <c r="C1404" s="4">
        <v>14</v>
      </c>
      <c r="D1404" s="8">
        <v>4.4400000000000004</v>
      </c>
      <c r="E1404" s="4">
        <v>13</v>
      </c>
      <c r="F1404" s="8">
        <v>6.25</v>
      </c>
      <c r="G1404" s="4">
        <v>1</v>
      </c>
      <c r="H1404" s="8">
        <v>0.98</v>
      </c>
      <c r="I1404" s="4">
        <v>0</v>
      </c>
    </row>
    <row r="1405" spans="1:9" x14ac:dyDescent="0.2">
      <c r="A1405" s="2">
        <v>8</v>
      </c>
      <c r="B1405" s="1" t="s">
        <v>105</v>
      </c>
      <c r="C1405" s="4">
        <v>14</v>
      </c>
      <c r="D1405" s="8">
        <v>4.4400000000000004</v>
      </c>
      <c r="E1405" s="4">
        <v>13</v>
      </c>
      <c r="F1405" s="8">
        <v>6.25</v>
      </c>
      <c r="G1405" s="4">
        <v>1</v>
      </c>
      <c r="H1405" s="8">
        <v>0.98</v>
      </c>
      <c r="I1405" s="4">
        <v>0</v>
      </c>
    </row>
    <row r="1406" spans="1:9" x14ac:dyDescent="0.2">
      <c r="A1406" s="2">
        <v>10</v>
      </c>
      <c r="B1406" s="1" t="s">
        <v>112</v>
      </c>
      <c r="C1406" s="4">
        <v>12</v>
      </c>
      <c r="D1406" s="8">
        <v>3.81</v>
      </c>
      <c r="E1406" s="4">
        <v>10</v>
      </c>
      <c r="F1406" s="8">
        <v>4.8099999999999996</v>
      </c>
      <c r="G1406" s="4">
        <v>2</v>
      </c>
      <c r="H1406" s="8">
        <v>1.96</v>
      </c>
      <c r="I1406" s="4">
        <v>0</v>
      </c>
    </row>
    <row r="1407" spans="1:9" x14ac:dyDescent="0.2">
      <c r="A1407" s="2">
        <v>11</v>
      </c>
      <c r="B1407" s="1" t="s">
        <v>131</v>
      </c>
      <c r="C1407" s="4">
        <v>10</v>
      </c>
      <c r="D1407" s="8">
        <v>3.17</v>
      </c>
      <c r="E1407" s="4">
        <v>6</v>
      </c>
      <c r="F1407" s="8">
        <v>2.88</v>
      </c>
      <c r="G1407" s="4">
        <v>4</v>
      </c>
      <c r="H1407" s="8">
        <v>3.92</v>
      </c>
      <c r="I1407" s="4">
        <v>0</v>
      </c>
    </row>
    <row r="1408" spans="1:9" x14ac:dyDescent="0.2">
      <c r="A1408" s="2">
        <v>11</v>
      </c>
      <c r="B1408" s="1" t="s">
        <v>115</v>
      </c>
      <c r="C1408" s="4">
        <v>10</v>
      </c>
      <c r="D1408" s="8">
        <v>3.17</v>
      </c>
      <c r="E1408" s="4">
        <v>8</v>
      </c>
      <c r="F1408" s="8">
        <v>3.85</v>
      </c>
      <c r="G1408" s="4">
        <v>2</v>
      </c>
      <c r="H1408" s="8">
        <v>1.96</v>
      </c>
      <c r="I1408" s="4">
        <v>0</v>
      </c>
    </row>
    <row r="1409" spans="1:9" x14ac:dyDescent="0.2">
      <c r="A1409" s="2">
        <v>13</v>
      </c>
      <c r="B1409" s="1" t="s">
        <v>100</v>
      </c>
      <c r="C1409" s="4">
        <v>8</v>
      </c>
      <c r="D1409" s="8">
        <v>2.54</v>
      </c>
      <c r="E1409" s="4">
        <v>5</v>
      </c>
      <c r="F1409" s="8">
        <v>2.4</v>
      </c>
      <c r="G1409" s="4">
        <v>3</v>
      </c>
      <c r="H1409" s="8">
        <v>2.94</v>
      </c>
      <c r="I1409" s="4">
        <v>0</v>
      </c>
    </row>
    <row r="1410" spans="1:9" x14ac:dyDescent="0.2">
      <c r="A1410" s="2">
        <v>13</v>
      </c>
      <c r="B1410" s="1" t="s">
        <v>119</v>
      </c>
      <c r="C1410" s="4">
        <v>8</v>
      </c>
      <c r="D1410" s="8">
        <v>2.54</v>
      </c>
      <c r="E1410" s="4">
        <v>2</v>
      </c>
      <c r="F1410" s="8">
        <v>0.96</v>
      </c>
      <c r="G1410" s="4">
        <v>6</v>
      </c>
      <c r="H1410" s="8">
        <v>5.88</v>
      </c>
      <c r="I1410" s="4">
        <v>0</v>
      </c>
    </row>
    <row r="1411" spans="1:9" x14ac:dyDescent="0.2">
      <c r="A1411" s="2">
        <v>13</v>
      </c>
      <c r="B1411" s="1" t="s">
        <v>123</v>
      </c>
      <c r="C1411" s="4">
        <v>8</v>
      </c>
      <c r="D1411" s="8">
        <v>2.54</v>
      </c>
      <c r="E1411" s="4">
        <v>8</v>
      </c>
      <c r="F1411" s="8">
        <v>3.85</v>
      </c>
      <c r="G1411" s="4">
        <v>0</v>
      </c>
      <c r="H1411" s="8">
        <v>0</v>
      </c>
      <c r="I1411" s="4">
        <v>0</v>
      </c>
    </row>
    <row r="1412" spans="1:9" x14ac:dyDescent="0.2">
      <c r="A1412" s="2">
        <v>16</v>
      </c>
      <c r="B1412" s="1" t="s">
        <v>104</v>
      </c>
      <c r="C1412" s="4">
        <v>7</v>
      </c>
      <c r="D1412" s="8">
        <v>2.2200000000000002</v>
      </c>
      <c r="E1412" s="4">
        <v>5</v>
      </c>
      <c r="F1412" s="8">
        <v>2.4</v>
      </c>
      <c r="G1412" s="4">
        <v>2</v>
      </c>
      <c r="H1412" s="8">
        <v>1.96</v>
      </c>
      <c r="I1412" s="4">
        <v>0</v>
      </c>
    </row>
    <row r="1413" spans="1:9" x14ac:dyDescent="0.2">
      <c r="A1413" s="2">
        <v>17</v>
      </c>
      <c r="B1413" s="1" t="s">
        <v>129</v>
      </c>
      <c r="C1413" s="4">
        <v>6</v>
      </c>
      <c r="D1413" s="8">
        <v>1.9</v>
      </c>
      <c r="E1413" s="4">
        <v>2</v>
      </c>
      <c r="F1413" s="8">
        <v>0.96</v>
      </c>
      <c r="G1413" s="4">
        <v>4</v>
      </c>
      <c r="H1413" s="8">
        <v>3.92</v>
      </c>
      <c r="I1413" s="4">
        <v>0</v>
      </c>
    </row>
    <row r="1414" spans="1:9" x14ac:dyDescent="0.2">
      <c r="A1414" s="2">
        <v>17</v>
      </c>
      <c r="B1414" s="1" t="s">
        <v>103</v>
      </c>
      <c r="C1414" s="4">
        <v>6</v>
      </c>
      <c r="D1414" s="8">
        <v>1.9</v>
      </c>
      <c r="E1414" s="4">
        <v>2</v>
      </c>
      <c r="F1414" s="8">
        <v>0.96</v>
      </c>
      <c r="G1414" s="4">
        <v>4</v>
      </c>
      <c r="H1414" s="8">
        <v>3.92</v>
      </c>
      <c r="I1414" s="4">
        <v>0</v>
      </c>
    </row>
    <row r="1415" spans="1:9" x14ac:dyDescent="0.2">
      <c r="A1415" s="2">
        <v>17</v>
      </c>
      <c r="B1415" s="1" t="s">
        <v>110</v>
      </c>
      <c r="C1415" s="4">
        <v>6</v>
      </c>
      <c r="D1415" s="8">
        <v>1.9</v>
      </c>
      <c r="E1415" s="4">
        <v>6</v>
      </c>
      <c r="F1415" s="8">
        <v>2.88</v>
      </c>
      <c r="G1415" s="4">
        <v>0</v>
      </c>
      <c r="H1415" s="8">
        <v>0</v>
      </c>
      <c r="I1415" s="4">
        <v>0</v>
      </c>
    </row>
    <row r="1416" spans="1:9" x14ac:dyDescent="0.2">
      <c r="A1416" s="2">
        <v>20</v>
      </c>
      <c r="B1416" s="1" t="s">
        <v>135</v>
      </c>
      <c r="C1416" s="4">
        <v>5</v>
      </c>
      <c r="D1416" s="8">
        <v>1.59</v>
      </c>
      <c r="E1416" s="4">
        <v>1</v>
      </c>
      <c r="F1416" s="8">
        <v>0.48</v>
      </c>
      <c r="G1416" s="4">
        <v>4</v>
      </c>
      <c r="H1416" s="8">
        <v>3.92</v>
      </c>
      <c r="I1416" s="4">
        <v>0</v>
      </c>
    </row>
    <row r="1417" spans="1:9" x14ac:dyDescent="0.2">
      <c r="A1417" s="2">
        <v>20</v>
      </c>
      <c r="B1417" s="1" t="s">
        <v>124</v>
      </c>
      <c r="C1417" s="4">
        <v>5</v>
      </c>
      <c r="D1417" s="8">
        <v>1.59</v>
      </c>
      <c r="E1417" s="4">
        <v>1</v>
      </c>
      <c r="F1417" s="8">
        <v>0.48</v>
      </c>
      <c r="G1417" s="4">
        <v>4</v>
      </c>
      <c r="H1417" s="8">
        <v>3.92</v>
      </c>
      <c r="I1417" s="4">
        <v>0</v>
      </c>
    </row>
    <row r="1418" spans="1:9" x14ac:dyDescent="0.2">
      <c r="A1418" s="2">
        <v>20</v>
      </c>
      <c r="B1418" s="1" t="s">
        <v>101</v>
      </c>
      <c r="C1418" s="4">
        <v>5</v>
      </c>
      <c r="D1418" s="8">
        <v>1.59</v>
      </c>
      <c r="E1418" s="4">
        <v>3</v>
      </c>
      <c r="F1418" s="8">
        <v>1.44</v>
      </c>
      <c r="G1418" s="4">
        <v>2</v>
      </c>
      <c r="H1418" s="8">
        <v>1.96</v>
      </c>
      <c r="I1418" s="4">
        <v>0</v>
      </c>
    </row>
    <row r="1419" spans="1:9" x14ac:dyDescent="0.2">
      <c r="A1419" s="2">
        <v>20</v>
      </c>
      <c r="B1419" s="1" t="s">
        <v>108</v>
      </c>
      <c r="C1419" s="4">
        <v>5</v>
      </c>
      <c r="D1419" s="8">
        <v>1.59</v>
      </c>
      <c r="E1419" s="4">
        <v>2</v>
      </c>
      <c r="F1419" s="8">
        <v>0.96</v>
      </c>
      <c r="G1419" s="4">
        <v>3</v>
      </c>
      <c r="H1419" s="8">
        <v>2.94</v>
      </c>
      <c r="I1419" s="4">
        <v>0</v>
      </c>
    </row>
    <row r="1420" spans="1:9" x14ac:dyDescent="0.2">
      <c r="A1420" s="1"/>
      <c r="C1420" s="4"/>
      <c r="D1420" s="8"/>
      <c r="E1420" s="4"/>
      <c r="F1420" s="8"/>
      <c r="G1420" s="4"/>
      <c r="H1420" s="8"/>
      <c r="I1420" s="4"/>
    </row>
    <row r="1421" spans="1:9" x14ac:dyDescent="0.2">
      <c r="A1421" s="1" t="s">
        <v>62</v>
      </c>
      <c r="C1421" s="4"/>
      <c r="D1421" s="8"/>
      <c r="E1421" s="4"/>
      <c r="F1421" s="8"/>
      <c r="G1421" s="4"/>
      <c r="H1421" s="8"/>
      <c r="I1421" s="4"/>
    </row>
    <row r="1422" spans="1:9" x14ac:dyDescent="0.2">
      <c r="A1422" s="2">
        <v>1</v>
      </c>
      <c r="B1422" s="1" t="s">
        <v>113</v>
      </c>
      <c r="C1422" s="4">
        <v>48</v>
      </c>
      <c r="D1422" s="8">
        <v>11.27</v>
      </c>
      <c r="E1422" s="4">
        <v>46</v>
      </c>
      <c r="F1422" s="8">
        <v>17.559999999999999</v>
      </c>
      <c r="G1422" s="4">
        <v>2</v>
      </c>
      <c r="H1422" s="8">
        <v>1.25</v>
      </c>
      <c r="I1422" s="4">
        <v>0</v>
      </c>
    </row>
    <row r="1423" spans="1:9" x14ac:dyDescent="0.2">
      <c r="A1423" s="2">
        <v>2</v>
      </c>
      <c r="B1423" s="1" t="s">
        <v>107</v>
      </c>
      <c r="C1423" s="4">
        <v>31</v>
      </c>
      <c r="D1423" s="8">
        <v>7.28</v>
      </c>
      <c r="E1423" s="4">
        <v>21</v>
      </c>
      <c r="F1423" s="8">
        <v>8.02</v>
      </c>
      <c r="G1423" s="4">
        <v>10</v>
      </c>
      <c r="H1423" s="8">
        <v>6.25</v>
      </c>
      <c r="I1423" s="4">
        <v>0</v>
      </c>
    </row>
    <row r="1424" spans="1:9" x14ac:dyDescent="0.2">
      <c r="A1424" s="2">
        <v>3</v>
      </c>
      <c r="B1424" s="1" t="s">
        <v>98</v>
      </c>
      <c r="C1424" s="4">
        <v>28</v>
      </c>
      <c r="D1424" s="8">
        <v>6.57</v>
      </c>
      <c r="E1424" s="4">
        <v>13</v>
      </c>
      <c r="F1424" s="8">
        <v>4.96</v>
      </c>
      <c r="G1424" s="4">
        <v>15</v>
      </c>
      <c r="H1424" s="8">
        <v>9.3800000000000008</v>
      </c>
      <c r="I1424" s="4">
        <v>0</v>
      </c>
    </row>
    <row r="1425" spans="1:9" x14ac:dyDescent="0.2">
      <c r="A1425" s="2">
        <v>4</v>
      </c>
      <c r="B1425" s="1" t="s">
        <v>112</v>
      </c>
      <c r="C1425" s="4">
        <v>26</v>
      </c>
      <c r="D1425" s="8">
        <v>6.1</v>
      </c>
      <c r="E1425" s="4">
        <v>23</v>
      </c>
      <c r="F1425" s="8">
        <v>8.7799999999999994</v>
      </c>
      <c r="G1425" s="4">
        <v>3</v>
      </c>
      <c r="H1425" s="8">
        <v>1.88</v>
      </c>
      <c r="I1425" s="4">
        <v>0</v>
      </c>
    </row>
    <row r="1426" spans="1:9" x14ac:dyDescent="0.2">
      <c r="A1426" s="2">
        <v>5</v>
      </c>
      <c r="B1426" s="1" t="s">
        <v>123</v>
      </c>
      <c r="C1426" s="4">
        <v>24</v>
      </c>
      <c r="D1426" s="8">
        <v>5.63</v>
      </c>
      <c r="E1426" s="4">
        <v>21</v>
      </c>
      <c r="F1426" s="8">
        <v>8.02</v>
      </c>
      <c r="G1426" s="4">
        <v>3</v>
      </c>
      <c r="H1426" s="8">
        <v>1.88</v>
      </c>
      <c r="I1426" s="4">
        <v>0</v>
      </c>
    </row>
    <row r="1427" spans="1:9" x14ac:dyDescent="0.2">
      <c r="A1427" s="2">
        <v>6</v>
      </c>
      <c r="B1427" s="1" t="s">
        <v>99</v>
      </c>
      <c r="C1427" s="4">
        <v>20</v>
      </c>
      <c r="D1427" s="8">
        <v>4.6900000000000004</v>
      </c>
      <c r="E1427" s="4">
        <v>10</v>
      </c>
      <c r="F1427" s="8">
        <v>3.82</v>
      </c>
      <c r="G1427" s="4">
        <v>10</v>
      </c>
      <c r="H1427" s="8">
        <v>6.25</v>
      </c>
      <c r="I1427" s="4">
        <v>0</v>
      </c>
    </row>
    <row r="1428" spans="1:9" x14ac:dyDescent="0.2">
      <c r="A1428" s="2">
        <v>6</v>
      </c>
      <c r="B1428" s="1" t="s">
        <v>106</v>
      </c>
      <c r="C1428" s="4">
        <v>20</v>
      </c>
      <c r="D1428" s="8">
        <v>4.6900000000000004</v>
      </c>
      <c r="E1428" s="4">
        <v>15</v>
      </c>
      <c r="F1428" s="8">
        <v>5.73</v>
      </c>
      <c r="G1428" s="4">
        <v>5</v>
      </c>
      <c r="H1428" s="8">
        <v>3.13</v>
      </c>
      <c r="I1428" s="4">
        <v>0</v>
      </c>
    </row>
    <row r="1429" spans="1:9" x14ac:dyDescent="0.2">
      <c r="A1429" s="2">
        <v>8</v>
      </c>
      <c r="B1429" s="1" t="s">
        <v>105</v>
      </c>
      <c r="C1429" s="4">
        <v>17</v>
      </c>
      <c r="D1429" s="8">
        <v>3.99</v>
      </c>
      <c r="E1429" s="4">
        <v>15</v>
      </c>
      <c r="F1429" s="8">
        <v>5.73</v>
      </c>
      <c r="G1429" s="4">
        <v>2</v>
      </c>
      <c r="H1429" s="8">
        <v>1.25</v>
      </c>
      <c r="I1429" s="4">
        <v>0</v>
      </c>
    </row>
    <row r="1430" spans="1:9" x14ac:dyDescent="0.2">
      <c r="A1430" s="2">
        <v>8</v>
      </c>
      <c r="B1430" s="1" t="s">
        <v>109</v>
      </c>
      <c r="C1430" s="4">
        <v>17</v>
      </c>
      <c r="D1430" s="8">
        <v>3.99</v>
      </c>
      <c r="E1430" s="4">
        <v>9</v>
      </c>
      <c r="F1430" s="8">
        <v>3.44</v>
      </c>
      <c r="G1430" s="4">
        <v>8</v>
      </c>
      <c r="H1430" s="8">
        <v>5</v>
      </c>
      <c r="I1430" s="4">
        <v>0</v>
      </c>
    </row>
    <row r="1431" spans="1:9" x14ac:dyDescent="0.2">
      <c r="A1431" s="2">
        <v>10</v>
      </c>
      <c r="B1431" s="1" t="s">
        <v>134</v>
      </c>
      <c r="C1431" s="4">
        <v>16</v>
      </c>
      <c r="D1431" s="8">
        <v>3.76</v>
      </c>
      <c r="E1431" s="4">
        <v>10</v>
      </c>
      <c r="F1431" s="8">
        <v>3.82</v>
      </c>
      <c r="G1431" s="4">
        <v>6</v>
      </c>
      <c r="H1431" s="8">
        <v>3.75</v>
      </c>
      <c r="I1431" s="4">
        <v>0</v>
      </c>
    </row>
    <row r="1432" spans="1:9" x14ac:dyDescent="0.2">
      <c r="A1432" s="2">
        <v>11</v>
      </c>
      <c r="B1432" s="1" t="s">
        <v>115</v>
      </c>
      <c r="C1432" s="4">
        <v>15</v>
      </c>
      <c r="D1432" s="8">
        <v>3.52</v>
      </c>
      <c r="E1432" s="4">
        <v>13</v>
      </c>
      <c r="F1432" s="8">
        <v>4.96</v>
      </c>
      <c r="G1432" s="4">
        <v>2</v>
      </c>
      <c r="H1432" s="8">
        <v>1.25</v>
      </c>
      <c r="I1432" s="4">
        <v>0</v>
      </c>
    </row>
    <row r="1433" spans="1:9" x14ac:dyDescent="0.2">
      <c r="A1433" s="2">
        <v>12</v>
      </c>
      <c r="B1433" s="1" t="s">
        <v>114</v>
      </c>
      <c r="C1433" s="4">
        <v>11</v>
      </c>
      <c r="D1433" s="8">
        <v>2.58</v>
      </c>
      <c r="E1433" s="4">
        <v>9</v>
      </c>
      <c r="F1433" s="8">
        <v>3.44</v>
      </c>
      <c r="G1433" s="4">
        <v>1</v>
      </c>
      <c r="H1433" s="8">
        <v>0.63</v>
      </c>
      <c r="I1433" s="4">
        <v>0</v>
      </c>
    </row>
    <row r="1434" spans="1:9" x14ac:dyDescent="0.2">
      <c r="A1434" s="2">
        <v>13</v>
      </c>
      <c r="B1434" s="1" t="s">
        <v>100</v>
      </c>
      <c r="C1434" s="4">
        <v>10</v>
      </c>
      <c r="D1434" s="8">
        <v>2.35</v>
      </c>
      <c r="E1434" s="4">
        <v>5</v>
      </c>
      <c r="F1434" s="8">
        <v>1.91</v>
      </c>
      <c r="G1434" s="4">
        <v>5</v>
      </c>
      <c r="H1434" s="8">
        <v>3.13</v>
      </c>
      <c r="I1434" s="4">
        <v>0</v>
      </c>
    </row>
    <row r="1435" spans="1:9" x14ac:dyDescent="0.2">
      <c r="A1435" s="2">
        <v>14</v>
      </c>
      <c r="B1435" s="1" t="s">
        <v>101</v>
      </c>
      <c r="C1435" s="4">
        <v>9</v>
      </c>
      <c r="D1435" s="8">
        <v>2.11</v>
      </c>
      <c r="E1435" s="4">
        <v>1</v>
      </c>
      <c r="F1435" s="8">
        <v>0.38</v>
      </c>
      <c r="G1435" s="4">
        <v>8</v>
      </c>
      <c r="H1435" s="8">
        <v>5</v>
      </c>
      <c r="I1435" s="4">
        <v>0</v>
      </c>
    </row>
    <row r="1436" spans="1:9" x14ac:dyDescent="0.2">
      <c r="A1436" s="2">
        <v>14</v>
      </c>
      <c r="B1436" s="1" t="s">
        <v>116</v>
      </c>
      <c r="C1436" s="4">
        <v>9</v>
      </c>
      <c r="D1436" s="8">
        <v>2.11</v>
      </c>
      <c r="E1436" s="4">
        <v>0</v>
      </c>
      <c r="F1436" s="8">
        <v>0</v>
      </c>
      <c r="G1436" s="4">
        <v>8</v>
      </c>
      <c r="H1436" s="8">
        <v>5</v>
      </c>
      <c r="I1436" s="4">
        <v>0</v>
      </c>
    </row>
    <row r="1437" spans="1:9" x14ac:dyDescent="0.2">
      <c r="A1437" s="2">
        <v>16</v>
      </c>
      <c r="B1437" s="1" t="s">
        <v>131</v>
      </c>
      <c r="C1437" s="4">
        <v>8</v>
      </c>
      <c r="D1437" s="8">
        <v>1.88</v>
      </c>
      <c r="E1437" s="4">
        <v>6</v>
      </c>
      <c r="F1437" s="8">
        <v>2.29</v>
      </c>
      <c r="G1437" s="4">
        <v>2</v>
      </c>
      <c r="H1437" s="8">
        <v>1.25</v>
      </c>
      <c r="I1437" s="4">
        <v>0</v>
      </c>
    </row>
    <row r="1438" spans="1:9" x14ac:dyDescent="0.2">
      <c r="A1438" s="2">
        <v>16</v>
      </c>
      <c r="B1438" s="1" t="s">
        <v>126</v>
      </c>
      <c r="C1438" s="4">
        <v>8</v>
      </c>
      <c r="D1438" s="8">
        <v>1.88</v>
      </c>
      <c r="E1438" s="4">
        <v>2</v>
      </c>
      <c r="F1438" s="8">
        <v>0.76</v>
      </c>
      <c r="G1438" s="4">
        <v>6</v>
      </c>
      <c r="H1438" s="8">
        <v>3.75</v>
      </c>
      <c r="I1438" s="4">
        <v>0</v>
      </c>
    </row>
    <row r="1439" spans="1:9" x14ac:dyDescent="0.2">
      <c r="A1439" s="2">
        <v>18</v>
      </c>
      <c r="B1439" s="1" t="s">
        <v>104</v>
      </c>
      <c r="C1439" s="4">
        <v>7</v>
      </c>
      <c r="D1439" s="8">
        <v>1.64</v>
      </c>
      <c r="E1439" s="4">
        <v>7</v>
      </c>
      <c r="F1439" s="8">
        <v>2.67</v>
      </c>
      <c r="G1439" s="4">
        <v>0</v>
      </c>
      <c r="H1439" s="8">
        <v>0</v>
      </c>
      <c r="I1439" s="4">
        <v>0</v>
      </c>
    </row>
    <row r="1440" spans="1:9" x14ac:dyDescent="0.2">
      <c r="A1440" s="2">
        <v>18</v>
      </c>
      <c r="B1440" s="1" t="s">
        <v>111</v>
      </c>
      <c r="C1440" s="4">
        <v>7</v>
      </c>
      <c r="D1440" s="8">
        <v>1.64</v>
      </c>
      <c r="E1440" s="4">
        <v>2</v>
      </c>
      <c r="F1440" s="8">
        <v>0.76</v>
      </c>
      <c r="G1440" s="4">
        <v>5</v>
      </c>
      <c r="H1440" s="8">
        <v>3.13</v>
      </c>
      <c r="I1440" s="4">
        <v>0</v>
      </c>
    </row>
    <row r="1441" spans="1:9" x14ac:dyDescent="0.2">
      <c r="A1441" s="2">
        <v>20</v>
      </c>
      <c r="B1441" s="1" t="s">
        <v>133</v>
      </c>
      <c r="C1441" s="4">
        <v>6</v>
      </c>
      <c r="D1441" s="8">
        <v>1.41</v>
      </c>
      <c r="E1441" s="4">
        <v>5</v>
      </c>
      <c r="F1441" s="8">
        <v>1.91</v>
      </c>
      <c r="G1441" s="4">
        <v>0</v>
      </c>
      <c r="H1441" s="8">
        <v>0</v>
      </c>
      <c r="I1441" s="4">
        <v>1</v>
      </c>
    </row>
    <row r="1442" spans="1:9" x14ac:dyDescent="0.2">
      <c r="A1442" s="2">
        <v>20</v>
      </c>
      <c r="B1442" s="1" t="s">
        <v>119</v>
      </c>
      <c r="C1442" s="4">
        <v>6</v>
      </c>
      <c r="D1442" s="8">
        <v>1.41</v>
      </c>
      <c r="E1442" s="4">
        <v>2</v>
      </c>
      <c r="F1442" s="8">
        <v>0.76</v>
      </c>
      <c r="G1442" s="4">
        <v>4</v>
      </c>
      <c r="H1442" s="8">
        <v>2.5</v>
      </c>
      <c r="I1442" s="4">
        <v>0</v>
      </c>
    </row>
    <row r="1443" spans="1:9" x14ac:dyDescent="0.2">
      <c r="A1443" s="2">
        <v>20</v>
      </c>
      <c r="B1443" s="1" t="s">
        <v>124</v>
      </c>
      <c r="C1443" s="4">
        <v>6</v>
      </c>
      <c r="D1443" s="8">
        <v>1.41</v>
      </c>
      <c r="E1443" s="4">
        <v>2</v>
      </c>
      <c r="F1443" s="8">
        <v>0.76</v>
      </c>
      <c r="G1443" s="4">
        <v>4</v>
      </c>
      <c r="H1443" s="8">
        <v>2.5</v>
      </c>
      <c r="I1443" s="4">
        <v>0</v>
      </c>
    </row>
    <row r="1444" spans="1:9" x14ac:dyDescent="0.2">
      <c r="A1444" s="2">
        <v>20</v>
      </c>
      <c r="B1444" s="1" t="s">
        <v>102</v>
      </c>
      <c r="C1444" s="4">
        <v>6</v>
      </c>
      <c r="D1444" s="8">
        <v>1.41</v>
      </c>
      <c r="E1444" s="4">
        <v>2</v>
      </c>
      <c r="F1444" s="8">
        <v>0.76</v>
      </c>
      <c r="G1444" s="4">
        <v>4</v>
      </c>
      <c r="H1444" s="8">
        <v>2.5</v>
      </c>
      <c r="I1444" s="4">
        <v>0</v>
      </c>
    </row>
    <row r="1445" spans="1:9" x14ac:dyDescent="0.2">
      <c r="A1445" s="1"/>
      <c r="C1445" s="4"/>
      <c r="D1445" s="8"/>
      <c r="E1445" s="4"/>
      <c r="F1445" s="8"/>
      <c r="G1445" s="4"/>
      <c r="H1445" s="8"/>
      <c r="I1445" s="4"/>
    </row>
    <row r="1446" spans="1:9" x14ac:dyDescent="0.2">
      <c r="A1446" s="1" t="s">
        <v>63</v>
      </c>
      <c r="C1446" s="4"/>
      <c r="D1446" s="8"/>
      <c r="E1446" s="4"/>
      <c r="F1446" s="8"/>
      <c r="G1446" s="4"/>
      <c r="H1446" s="8"/>
      <c r="I1446" s="4"/>
    </row>
    <row r="1447" spans="1:9" x14ac:dyDescent="0.2">
      <c r="A1447" s="2">
        <v>1</v>
      </c>
      <c r="B1447" s="1" t="s">
        <v>113</v>
      </c>
      <c r="C1447" s="4">
        <v>27</v>
      </c>
      <c r="D1447" s="8">
        <v>14.06</v>
      </c>
      <c r="E1447" s="4">
        <v>25</v>
      </c>
      <c r="F1447" s="8">
        <v>20.66</v>
      </c>
      <c r="G1447" s="4">
        <v>2</v>
      </c>
      <c r="H1447" s="8">
        <v>3.03</v>
      </c>
      <c r="I1447" s="4">
        <v>0</v>
      </c>
    </row>
    <row r="1448" spans="1:9" x14ac:dyDescent="0.2">
      <c r="A1448" s="2">
        <v>2</v>
      </c>
      <c r="B1448" s="1" t="s">
        <v>98</v>
      </c>
      <c r="C1448" s="4">
        <v>21</v>
      </c>
      <c r="D1448" s="8">
        <v>10.94</v>
      </c>
      <c r="E1448" s="4">
        <v>9</v>
      </c>
      <c r="F1448" s="8">
        <v>7.44</v>
      </c>
      <c r="G1448" s="4">
        <v>12</v>
      </c>
      <c r="H1448" s="8">
        <v>18.18</v>
      </c>
      <c r="I1448" s="4">
        <v>0</v>
      </c>
    </row>
    <row r="1449" spans="1:9" x14ac:dyDescent="0.2">
      <c r="A1449" s="2">
        <v>3</v>
      </c>
      <c r="B1449" s="1" t="s">
        <v>105</v>
      </c>
      <c r="C1449" s="4">
        <v>20</v>
      </c>
      <c r="D1449" s="8">
        <v>10.42</v>
      </c>
      <c r="E1449" s="4">
        <v>19</v>
      </c>
      <c r="F1449" s="8">
        <v>15.7</v>
      </c>
      <c r="G1449" s="4">
        <v>1</v>
      </c>
      <c r="H1449" s="8">
        <v>1.52</v>
      </c>
      <c r="I1449" s="4">
        <v>0</v>
      </c>
    </row>
    <row r="1450" spans="1:9" x14ac:dyDescent="0.2">
      <c r="A1450" s="2">
        <v>4</v>
      </c>
      <c r="B1450" s="1" t="s">
        <v>107</v>
      </c>
      <c r="C1450" s="4">
        <v>16</v>
      </c>
      <c r="D1450" s="8">
        <v>8.33</v>
      </c>
      <c r="E1450" s="4">
        <v>8</v>
      </c>
      <c r="F1450" s="8">
        <v>6.61</v>
      </c>
      <c r="G1450" s="4">
        <v>8</v>
      </c>
      <c r="H1450" s="8">
        <v>12.12</v>
      </c>
      <c r="I1450" s="4">
        <v>0</v>
      </c>
    </row>
    <row r="1451" spans="1:9" x14ac:dyDescent="0.2">
      <c r="A1451" s="2">
        <v>5</v>
      </c>
      <c r="B1451" s="1" t="s">
        <v>112</v>
      </c>
      <c r="C1451" s="4">
        <v>10</v>
      </c>
      <c r="D1451" s="8">
        <v>5.21</v>
      </c>
      <c r="E1451" s="4">
        <v>9</v>
      </c>
      <c r="F1451" s="8">
        <v>7.44</v>
      </c>
      <c r="G1451" s="4">
        <v>1</v>
      </c>
      <c r="H1451" s="8">
        <v>1.52</v>
      </c>
      <c r="I1451" s="4">
        <v>0</v>
      </c>
    </row>
    <row r="1452" spans="1:9" x14ac:dyDescent="0.2">
      <c r="A1452" s="2">
        <v>6</v>
      </c>
      <c r="B1452" s="1" t="s">
        <v>123</v>
      </c>
      <c r="C1452" s="4">
        <v>7</v>
      </c>
      <c r="D1452" s="8">
        <v>3.65</v>
      </c>
      <c r="E1452" s="4">
        <v>6</v>
      </c>
      <c r="F1452" s="8">
        <v>4.96</v>
      </c>
      <c r="G1452" s="4">
        <v>1</v>
      </c>
      <c r="H1452" s="8">
        <v>1.52</v>
      </c>
      <c r="I1452" s="4">
        <v>0</v>
      </c>
    </row>
    <row r="1453" spans="1:9" x14ac:dyDescent="0.2">
      <c r="A1453" s="2">
        <v>7</v>
      </c>
      <c r="B1453" s="1" t="s">
        <v>99</v>
      </c>
      <c r="C1453" s="4">
        <v>6</v>
      </c>
      <c r="D1453" s="8">
        <v>3.13</v>
      </c>
      <c r="E1453" s="4">
        <v>4</v>
      </c>
      <c r="F1453" s="8">
        <v>3.31</v>
      </c>
      <c r="G1453" s="4">
        <v>2</v>
      </c>
      <c r="H1453" s="8">
        <v>3.03</v>
      </c>
      <c r="I1453" s="4">
        <v>0</v>
      </c>
    </row>
    <row r="1454" spans="1:9" x14ac:dyDescent="0.2">
      <c r="A1454" s="2">
        <v>7</v>
      </c>
      <c r="B1454" s="1" t="s">
        <v>100</v>
      </c>
      <c r="C1454" s="4">
        <v>6</v>
      </c>
      <c r="D1454" s="8">
        <v>3.13</v>
      </c>
      <c r="E1454" s="4">
        <v>3</v>
      </c>
      <c r="F1454" s="8">
        <v>2.48</v>
      </c>
      <c r="G1454" s="4">
        <v>3</v>
      </c>
      <c r="H1454" s="8">
        <v>4.55</v>
      </c>
      <c r="I1454" s="4">
        <v>0</v>
      </c>
    </row>
    <row r="1455" spans="1:9" x14ac:dyDescent="0.2">
      <c r="A1455" s="2">
        <v>7</v>
      </c>
      <c r="B1455" s="1" t="s">
        <v>119</v>
      </c>
      <c r="C1455" s="4">
        <v>6</v>
      </c>
      <c r="D1455" s="8">
        <v>3.13</v>
      </c>
      <c r="E1455" s="4">
        <v>2</v>
      </c>
      <c r="F1455" s="8">
        <v>1.65</v>
      </c>
      <c r="G1455" s="4">
        <v>4</v>
      </c>
      <c r="H1455" s="8">
        <v>6.06</v>
      </c>
      <c r="I1455" s="4">
        <v>0</v>
      </c>
    </row>
    <row r="1456" spans="1:9" x14ac:dyDescent="0.2">
      <c r="A1456" s="2">
        <v>7</v>
      </c>
      <c r="B1456" s="1" t="s">
        <v>116</v>
      </c>
      <c r="C1456" s="4">
        <v>6</v>
      </c>
      <c r="D1456" s="8">
        <v>3.13</v>
      </c>
      <c r="E1456" s="4">
        <v>0</v>
      </c>
      <c r="F1456" s="8">
        <v>0</v>
      </c>
      <c r="G1456" s="4">
        <v>4</v>
      </c>
      <c r="H1456" s="8">
        <v>6.06</v>
      </c>
      <c r="I1456" s="4">
        <v>0</v>
      </c>
    </row>
    <row r="1457" spans="1:9" x14ac:dyDescent="0.2">
      <c r="A1457" s="2">
        <v>11</v>
      </c>
      <c r="B1457" s="1" t="s">
        <v>136</v>
      </c>
      <c r="C1457" s="4">
        <v>5</v>
      </c>
      <c r="D1457" s="8">
        <v>2.6</v>
      </c>
      <c r="E1457" s="4">
        <v>2</v>
      </c>
      <c r="F1457" s="8">
        <v>1.65</v>
      </c>
      <c r="G1457" s="4">
        <v>3</v>
      </c>
      <c r="H1457" s="8">
        <v>4.55</v>
      </c>
      <c r="I1457" s="4">
        <v>0</v>
      </c>
    </row>
    <row r="1458" spans="1:9" x14ac:dyDescent="0.2">
      <c r="A1458" s="2">
        <v>11</v>
      </c>
      <c r="B1458" s="1" t="s">
        <v>104</v>
      </c>
      <c r="C1458" s="4">
        <v>5</v>
      </c>
      <c r="D1458" s="8">
        <v>2.6</v>
      </c>
      <c r="E1458" s="4">
        <v>4</v>
      </c>
      <c r="F1458" s="8">
        <v>3.31</v>
      </c>
      <c r="G1458" s="4">
        <v>1</v>
      </c>
      <c r="H1458" s="8">
        <v>1.52</v>
      </c>
      <c r="I1458" s="4">
        <v>0</v>
      </c>
    </row>
    <row r="1459" spans="1:9" x14ac:dyDescent="0.2">
      <c r="A1459" s="2">
        <v>11</v>
      </c>
      <c r="B1459" s="1" t="s">
        <v>106</v>
      </c>
      <c r="C1459" s="4">
        <v>5</v>
      </c>
      <c r="D1459" s="8">
        <v>2.6</v>
      </c>
      <c r="E1459" s="4">
        <v>5</v>
      </c>
      <c r="F1459" s="8">
        <v>4.13</v>
      </c>
      <c r="G1459" s="4">
        <v>0</v>
      </c>
      <c r="H1459" s="8">
        <v>0</v>
      </c>
      <c r="I1459" s="4">
        <v>0</v>
      </c>
    </row>
    <row r="1460" spans="1:9" x14ac:dyDescent="0.2">
      <c r="A1460" s="2">
        <v>11</v>
      </c>
      <c r="B1460" s="1" t="s">
        <v>111</v>
      </c>
      <c r="C1460" s="4">
        <v>5</v>
      </c>
      <c r="D1460" s="8">
        <v>2.6</v>
      </c>
      <c r="E1460" s="4">
        <v>4</v>
      </c>
      <c r="F1460" s="8">
        <v>3.31</v>
      </c>
      <c r="G1460" s="4">
        <v>1</v>
      </c>
      <c r="H1460" s="8">
        <v>1.52</v>
      </c>
      <c r="I1460" s="4">
        <v>0</v>
      </c>
    </row>
    <row r="1461" spans="1:9" x14ac:dyDescent="0.2">
      <c r="A1461" s="2">
        <v>11</v>
      </c>
      <c r="B1461" s="1" t="s">
        <v>121</v>
      </c>
      <c r="C1461" s="4">
        <v>5</v>
      </c>
      <c r="D1461" s="8">
        <v>2.6</v>
      </c>
      <c r="E1461" s="4">
        <v>2</v>
      </c>
      <c r="F1461" s="8">
        <v>1.65</v>
      </c>
      <c r="G1461" s="4">
        <v>2</v>
      </c>
      <c r="H1461" s="8">
        <v>3.03</v>
      </c>
      <c r="I1461" s="4">
        <v>0</v>
      </c>
    </row>
    <row r="1462" spans="1:9" x14ac:dyDescent="0.2">
      <c r="A1462" s="2">
        <v>11</v>
      </c>
      <c r="B1462" s="1" t="s">
        <v>114</v>
      </c>
      <c r="C1462" s="4">
        <v>5</v>
      </c>
      <c r="D1462" s="8">
        <v>2.6</v>
      </c>
      <c r="E1462" s="4">
        <v>1</v>
      </c>
      <c r="F1462" s="8">
        <v>0.83</v>
      </c>
      <c r="G1462" s="4">
        <v>3</v>
      </c>
      <c r="H1462" s="8">
        <v>4.55</v>
      </c>
      <c r="I1462" s="4">
        <v>0</v>
      </c>
    </row>
    <row r="1463" spans="1:9" x14ac:dyDescent="0.2">
      <c r="A1463" s="2">
        <v>11</v>
      </c>
      <c r="B1463" s="1" t="s">
        <v>115</v>
      </c>
      <c r="C1463" s="4">
        <v>5</v>
      </c>
      <c r="D1463" s="8">
        <v>2.6</v>
      </c>
      <c r="E1463" s="4">
        <v>5</v>
      </c>
      <c r="F1463" s="8">
        <v>4.13</v>
      </c>
      <c r="G1463" s="4">
        <v>0</v>
      </c>
      <c r="H1463" s="8">
        <v>0</v>
      </c>
      <c r="I1463" s="4">
        <v>0</v>
      </c>
    </row>
    <row r="1464" spans="1:9" x14ac:dyDescent="0.2">
      <c r="A1464" s="2">
        <v>18</v>
      </c>
      <c r="B1464" s="1" t="s">
        <v>101</v>
      </c>
      <c r="C1464" s="4">
        <v>4</v>
      </c>
      <c r="D1464" s="8">
        <v>2.08</v>
      </c>
      <c r="E1464" s="4">
        <v>3</v>
      </c>
      <c r="F1464" s="8">
        <v>2.48</v>
      </c>
      <c r="G1464" s="4">
        <v>1</v>
      </c>
      <c r="H1464" s="8">
        <v>1.52</v>
      </c>
      <c r="I1464" s="4">
        <v>0</v>
      </c>
    </row>
    <row r="1465" spans="1:9" x14ac:dyDescent="0.2">
      <c r="A1465" s="2">
        <v>19</v>
      </c>
      <c r="B1465" s="1" t="s">
        <v>109</v>
      </c>
      <c r="C1465" s="4">
        <v>3</v>
      </c>
      <c r="D1465" s="8">
        <v>1.56</v>
      </c>
      <c r="E1465" s="4">
        <v>1</v>
      </c>
      <c r="F1465" s="8">
        <v>0.83</v>
      </c>
      <c r="G1465" s="4">
        <v>1</v>
      </c>
      <c r="H1465" s="8">
        <v>1.52</v>
      </c>
      <c r="I1465" s="4">
        <v>0</v>
      </c>
    </row>
    <row r="1466" spans="1:9" x14ac:dyDescent="0.2">
      <c r="A1466" s="2">
        <v>20</v>
      </c>
      <c r="B1466" s="1" t="s">
        <v>130</v>
      </c>
      <c r="C1466" s="4">
        <v>2</v>
      </c>
      <c r="D1466" s="8">
        <v>1.04</v>
      </c>
      <c r="E1466" s="4">
        <v>1</v>
      </c>
      <c r="F1466" s="8">
        <v>0.83</v>
      </c>
      <c r="G1466" s="4">
        <v>1</v>
      </c>
      <c r="H1466" s="8">
        <v>1.52</v>
      </c>
      <c r="I1466" s="4">
        <v>0</v>
      </c>
    </row>
    <row r="1467" spans="1:9" x14ac:dyDescent="0.2">
      <c r="A1467" s="2">
        <v>20</v>
      </c>
      <c r="B1467" s="1" t="s">
        <v>131</v>
      </c>
      <c r="C1467" s="4">
        <v>2</v>
      </c>
      <c r="D1467" s="8">
        <v>1.04</v>
      </c>
      <c r="E1467" s="4">
        <v>1</v>
      </c>
      <c r="F1467" s="8">
        <v>0.83</v>
      </c>
      <c r="G1467" s="4">
        <v>1</v>
      </c>
      <c r="H1467" s="8">
        <v>1.52</v>
      </c>
      <c r="I1467" s="4">
        <v>0</v>
      </c>
    </row>
    <row r="1468" spans="1:9" x14ac:dyDescent="0.2">
      <c r="A1468" s="2">
        <v>20</v>
      </c>
      <c r="B1468" s="1" t="s">
        <v>132</v>
      </c>
      <c r="C1468" s="4">
        <v>2</v>
      </c>
      <c r="D1468" s="8">
        <v>1.04</v>
      </c>
      <c r="E1468" s="4">
        <v>1</v>
      </c>
      <c r="F1468" s="8">
        <v>0.83</v>
      </c>
      <c r="G1468" s="4">
        <v>1</v>
      </c>
      <c r="H1468" s="8">
        <v>1.52</v>
      </c>
      <c r="I1468" s="4">
        <v>0</v>
      </c>
    </row>
    <row r="1469" spans="1:9" x14ac:dyDescent="0.2">
      <c r="A1469" s="2">
        <v>20</v>
      </c>
      <c r="B1469" s="1" t="s">
        <v>102</v>
      </c>
      <c r="C1469" s="4">
        <v>2</v>
      </c>
      <c r="D1469" s="8">
        <v>1.04</v>
      </c>
      <c r="E1469" s="4">
        <v>1</v>
      </c>
      <c r="F1469" s="8">
        <v>0.83</v>
      </c>
      <c r="G1469" s="4">
        <v>1</v>
      </c>
      <c r="H1469" s="8">
        <v>1.52</v>
      </c>
      <c r="I1469" s="4">
        <v>0</v>
      </c>
    </row>
    <row r="1470" spans="1:9" x14ac:dyDescent="0.2">
      <c r="A1470" s="2">
        <v>20</v>
      </c>
      <c r="B1470" s="1" t="s">
        <v>103</v>
      </c>
      <c r="C1470" s="4">
        <v>2</v>
      </c>
      <c r="D1470" s="8">
        <v>1.04</v>
      </c>
      <c r="E1470" s="4">
        <v>1</v>
      </c>
      <c r="F1470" s="8">
        <v>0.83</v>
      </c>
      <c r="G1470" s="4">
        <v>1</v>
      </c>
      <c r="H1470" s="8">
        <v>1.52</v>
      </c>
      <c r="I1470" s="4">
        <v>0</v>
      </c>
    </row>
    <row r="1471" spans="1:9" x14ac:dyDescent="0.2">
      <c r="A1471" s="2">
        <v>20</v>
      </c>
      <c r="B1471" s="1" t="s">
        <v>126</v>
      </c>
      <c r="C1471" s="4">
        <v>2</v>
      </c>
      <c r="D1471" s="8">
        <v>1.04</v>
      </c>
      <c r="E1471" s="4">
        <v>0</v>
      </c>
      <c r="F1471" s="8">
        <v>0</v>
      </c>
      <c r="G1471" s="4">
        <v>2</v>
      </c>
      <c r="H1471" s="8">
        <v>3.03</v>
      </c>
      <c r="I1471" s="4">
        <v>0</v>
      </c>
    </row>
    <row r="1472" spans="1:9" x14ac:dyDescent="0.2">
      <c r="A1472" s="2">
        <v>20</v>
      </c>
      <c r="B1472" s="1" t="s">
        <v>108</v>
      </c>
      <c r="C1472" s="4">
        <v>2</v>
      </c>
      <c r="D1472" s="8">
        <v>1.04</v>
      </c>
      <c r="E1472" s="4">
        <v>1</v>
      </c>
      <c r="F1472" s="8">
        <v>0.83</v>
      </c>
      <c r="G1472" s="4">
        <v>1</v>
      </c>
      <c r="H1472" s="8">
        <v>1.52</v>
      </c>
      <c r="I1472" s="4">
        <v>0</v>
      </c>
    </row>
    <row r="1473" spans="1:9" x14ac:dyDescent="0.2">
      <c r="A1473" s="2">
        <v>20</v>
      </c>
      <c r="B1473" s="1" t="s">
        <v>110</v>
      </c>
      <c r="C1473" s="4">
        <v>2</v>
      </c>
      <c r="D1473" s="8">
        <v>1.04</v>
      </c>
      <c r="E1473" s="4">
        <v>0</v>
      </c>
      <c r="F1473" s="8">
        <v>0</v>
      </c>
      <c r="G1473" s="4">
        <v>2</v>
      </c>
      <c r="H1473" s="8">
        <v>3.03</v>
      </c>
      <c r="I1473" s="4">
        <v>0</v>
      </c>
    </row>
    <row r="1474" spans="1:9" x14ac:dyDescent="0.2">
      <c r="A1474" s="2">
        <v>20</v>
      </c>
      <c r="B1474" s="1" t="s">
        <v>127</v>
      </c>
      <c r="C1474" s="4">
        <v>2</v>
      </c>
      <c r="D1474" s="8">
        <v>1.04</v>
      </c>
      <c r="E1474" s="4">
        <v>2</v>
      </c>
      <c r="F1474" s="8">
        <v>1.65</v>
      </c>
      <c r="G1474" s="4">
        <v>0</v>
      </c>
      <c r="H1474" s="8">
        <v>0</v>
      </c>
      <c r="I1474" s="4">
        <v>0</v>
      </c>
    </row>
    <row r="1475" spans="1:9" x14ac:dyDescent="0.2">
      <c r="A1475" s="1"/>
      <c r="C1475" s="4"/>
      <c r="D1475" s="8"/>
      <c r="E1475" s="4"/>
      <c r="F1475" s="8"/>
      <c r="G1475" s="4"/>
      <c r="H1475" s="8"/>
      <c r="I1475" s="4"/>
    </row>
    <row r="1476" spans="1:9" x14ac:dyDescent="0.2">
      <c r="A1476" s="1" t="s">
        <v>64</v>
      </c>
      <c r="C1476" s="4"/>
      <c r="D1476" s="8"/>
      <c r="E1476" s="4"/>
      <c r="F1476" s="8"/>
      <c r="G1476" s="4"/>
      <c r="H1476" s="8"/>
      <c r="I1476" s="4"/>
    </row>
    <row r="1477" spans="1:9" x14ac:dyDescent="0.2">
      <c r="A1477" s="2">
        <v>1</v>
      </c>
      <c r="B1477" s="1" t="s">
        <v>98</v>
      </c>
      <c r="C1477" s="4">
        <v>26</v>
      </c>
      <c r="D1477" s="8">
        <v>11.76</v>
      </c>
      <c r="E1477" s="4">
        <v>3</v>
      </c>
      <c r="F1477" s="8">
        <v>2.0299999999999998</v>
      </c>
      <c r="G1477" s="4">
        <v>23</v>
      </c>
      <c r="H1477" s="8">
        <v>34.33</v>
      </c>
      <c r="I1477" s="4">
        <v>0</v>
      </c>
    </row>
    <row r="1478" spans="1:9" x14ac:dyDescent="0.2">
      <c r="A1478" s="2">
        <v>2</v>
      </c>
      <c r="B1478" s="1" t="s">
        <v>107</v>
      </c>
      <c r="C1478" s="4">
        <v>25</v>
      </c>
      <c r="D1478" s="8">
        <v>11.31</v>
      </c>
      <c r="E1478" s="4">
        <v>20</v>
      </c>
      <c r="F1478" s="8">
        <v>13.51</v>
      </c>
      <c r="G1478" s="4">
        <v>5</v>
      </c>
      <c r="H1478" s="8">
        <v>7.46</v>
      </c>
      <c r="I1478" s="4">
        <v>0</v>
      </c>
    </row>
    <row r="1479" spans="1:9" x14ac:dyDescent="0.2">
      <c r="A1479" s="2">
        <v>3</v>
      </c>
      <c r="B1479" s="1" t="s">
        <v>112</v>
      </c>
      <c r="C1479" s="4">
        <v>24</v>
      </c>
      <c r="D1479" s="8">
        <v>10.86</v>
      </c>
      <c r="E1479" s="4">
        <v>21</v>
      </c>
      <c r="F1479" s="8">
        <v>14.19</v>
      </c>
      <c r="G1479" s="4">
        <v>3</v>
      </c>
      <c r="H1479" s="8">
        <v>4.4800000000000004</v>
      </c>
      <c r="I1479" s="4">
        <v>0</v>
      </c>
    </row>
    <row r="1480" spans="1:9" x14ac:dyDescent="0.2">
      <c r="A1480" s="2">
        <v>4</v>
      </c>
      <c r="B1480" s="1" t="s">
        <v>105</v>
      </c>
      <c r="C1480" s="4">
        <v>23</v>
      </c>
      <c r="D1480" s="8">
        <v>10.41</v>
      </c>
      <c r="E1480" s="4">
        <v>22</v>
      </c>
      <c r="F1480" s="8">
        <v>14.86</v>
      </c>
      <c r="G1480" s="4">
        <v>1</v>
      </c>
      <c r="H1480" s="8">
        <v>1.49</v>
      </c>
      <c r="I1480" s="4">
        <v>0</v>
      </c>
    </row>
    <row r="1481" spans="1:9" x14ac:dyDescent="0.2">
      <c r="A1481" s="2">
        <v>5</v>
      </c>
      <c r="B1481" s="1" t="s">
        <v>113</v>
      </c>
      <c r="C1481" s="4">
        <v>19</v>
      </c>
      <c r="D1481" s="8">
        <v>8.6</v>
      </c>
      <c r="E1481" s="4">
        <v>19</v>
      </c>
      <c r="F1481" s="8">
        <v>12.84</v>
      </c>
      <c r="G1481" s="4">
        <v>0</v>
      </c>
      <c r="H1481" s="8">
        <v>0</v>
      </c>
      <c r="I1481" s="4">
        <v>0</v>
      </c>
    </row>
    <row r="1482" spans="1:9" x14ac:dyDescent="0.2">
      <c r="A1482" s="2">
        <v>6</v>
      </c>
      <c r="B1482" s="1" t="s">
        <v>116</v>
      </c>
      <c r="C1482" s="4">
        <v>13</v>
      </c>
      <c r="D1482" s="8">
        <v>5.88</v>
      </c>
      <c r="E1482" s="4">
        <v>0</v>
      </c>
      <c r="F1482" s="8">
        <v>0</v>
      </c>
      <c r="G1482" s="4">
        <v>10</v>
      </c>
      <c r="H1482" s="8">
        <v>14.93</v>
      </c>
      <c r="I1482" s="4">
        <v>1</v>
      </c>
    </row>
    <row r="1483" spans="1:9" x14ac:dyDescent="0.2">
      <c r="A1483" s="2">
        <v>7</v>
      </c>
      <c r="B1483" s="1" t="s">
        <v>104</v>
      </c>
      <c r="C1483" s="4">
        <v>7</v>
      </c>
      <c r="D1483" s="8">
        <v>3.17</v>
      </c>
      <c r="E1483" s="4">
        <v>7</v>
      </c>
      <c r="F1483" s="8">
        <v>4.7300000000000004</v>
      </c>
      <c r="G1483" s="4">
        <v>0</v>
      </c>
      <c r="H1483" s="8">
        <v>0</v>
      </c>
      <c r="I1483" s="4">
        <v>0</v>
      </c>
    </row>
    <row r="1484" spans="1:9" x14ac:dyDescent="0.2">
      <c r="A1484" s="2">
        <v>7</v>
      </c>
      <c r="B1484" s="1" t="s">
        <v>106</v>
      </c>
      <c r="C1484" s="4">
        <v>7</v>
      </c>
      <c r="D1484" s="8">
        <v>3.17</v>
      </c>
      <c r="E1484" s="4">
        <v>6</v>
      </c>
      <c r="F1484" s="8">
        <v>4.05</v>
      </c>
      <c r="G1484" s="4">
        <v>1</v>
      </c>
      <c r="H1484" s="8">
        <v>1.49</v>
      </c>
      <c r="I1484" s="4">
        <v>0</v>
      </c>
    </row>
    <row r="1485" spans="1:9" x14ac:dyDescent="0.2">
      <c r="A1485" s="2">
        <v>9</v>
      </c>
      <c r="B1485" s="1" t="s">
        <v>100</v>
      </c>
      <c r="C1485" s="4">
        <v>6</v>
      </c>
      <c r="D1485" s="8">
        <v>2.71</v>
      </c>
      <c r="E1485" s="4">
        <v>2</v>
      </c>
      <c r="F1485" s="8">
        <v>1.35</v>
      </c>
      <c r="G1485" s="4">
        <v>4</v>
      </c>
      <c r="H1485" s="8">
        <v>5.97</v>
      </c>
      <c r="I1485" s="4">
        <v>0</v>
      </c>
    </row>
    <row r="1486" spans="1:9" x14ac:dyDescent="0.2">
      <c r="A1486" s="2">
        <v>9</v>
      </c>
      <c r="B1486" s="1" t="s">
        <v>109</v>
      </c>
      <c r="C1486" s="4">
        <v>6</v>
      </c>
      <c r="D1486" s="8">
        <v>2.71</v>
      </c>
      <c r="E1486" s="4">
        <v>3</v>
      </c>
      <c r="F1486" s="8">
        <v>2.0299999999999998</v>
      </c>
      <c r="G1486" s="4">
        <v>2</v>
      </c>
      <c r="H1486" s="8">
        <v>2.99</v>
      </c>
      <c r="I1486" s="4">
        <v>0</v>
      </c>
    </row>
    <row r="1487" spans="1:9" x14ac:dyDescent="0.2">
      <c r="A1487" s="2">
        <v>9</v>
      </c>
      <c r="B1487" s="1" t="s">
        <v>115</v>
      </c>
      <c r="C1487" s="4">
        <v>6</v>
      </c>
      <c r="D1487" s="8">
        <v>2.71</v>
      </c>
      <c r="E1487" s="4">
        <v>6</v>
      </c>
      <c r="F1487" s="8">
        <v>4.05</v>
      </c>
      <c r="G1487" s="4">
        <v>0</v>
      </c>
      <c r="H1487" s="8">
        <v>0</v>
      </c>
      <c r="I1487" s="4">
        <v>0</v>
      </c>
    </row>
    <row r="1488" spans="1:9" x14ac:dyDescent="0.2">
      <c r="A1488" s="2">
        <v>9</v>
      </c>
      <c r="B1488" s="1" t="s">
        <v>117</v>
      </c>
      <c r="C1488" s="4">
        <v>6</v>
      </c>
      <c r="D1488" s="8">
        <v>2.71</v>
      </c>
      <c r="E1488" s="4">
        <v>6</v>
      </c>
      <c r="F1488" s="8">
        <v>4.05</v>
      </c>
      <c r="G1488" s="4">
        <v>0</v>
      </c>
      <c r="H1488" s="8">
        <v>0</v>
      </c>
      <c r="I1488" s="4">
        <v>0</v>
      </c>
    </row>
    <row r="1489" spans="1:9" x14ac:dyDescent="0.2">
      <c r="A1489" s="2">
        <v>13</v>
      </c>
      <c r="B1489" s="1" t="s">
        <v>111</v>
      </c>
      <c r="C1489" s="4">
        <v>5</v>
      </c>
      <c r="D1489" s="8">
        <v>2.2599999999999998</v>
      </c>
      <c r="E1489" s="4">
        <v>3</v>
      </c>
      <c r="F1489" s="8">
        <v>2.0299999999999998</v>
      </c>
      <c r="G1489" s="4">
        <v>2</v>
      </c>
      <c r="H1489" s="8">
        <v>2.99</v>
      </c>
      <c r="I1489" s="4">
        <v>0</v>
      </c>
    </row>
    <row r="1490" spans="1:9" x14ac:dyDescent="0.2">
      <c r="A1490" s="2">
        <v>14</v>
      </c>
      <c r="B1490" s="1" t="s">
        <v>99</v>
      </c>
      <c r="C1490" s="4">
        <v>4</v>
      </c>
      <c r="D1490" s="8">
        <v>1.81</v>
      </c>
      <c r="E1490" s="4">
        <v>3</v>
      </c>
      <c r="F1490" s="8">
        <v>2.0299999999999998</v>
      </c>
      <c r="G1490" s="4">
        <v>1</v>
      </c>
      <c r="H1490" s="8">
        <v>1.49</v>
      </c>
      <c r="I1490" s="4">
        <v>0</v>
      </c>
    </row>
    <row r="1491" spans="1:9" x14ac:dyDescent="0.2">
      <c r="A1491" s="2">
        <v>14</v>
      </c>
      <c r="B1491" s="1" t="s">
        <v>130</v>
      </c>
      <c r="C1491" s="4">
        <v>4</v>
      </c>
      <c r="D1491" s="8">
        <v>1.81</v>
      </c>
      <c r="E1491" s="4">
        <v>4</v>
      </c>
      <c r="F1491" s="8">
        <v>2.7</v>
      </c>
      <c r="G1491" s="4">
        <v>0</v>
      </c>
      <c r="H1491" s="8">
        <v>0</v>
      </c>
      <c r="I1491" s="4">
        <v>0</v>
      </c>
    </row>
    <row r="1492" spans="1:9" x14ac:dyDescent="0.2">
      <c r="A1492" s="2">
        <v>14</v>
      </c>
      <c r="B1492" s="1" t="s">
        <v>123</v>
      </c>
      <c r="C1492" s="4">
        <v>4</v>
      </c>
      <c r="D1492" s="8">
        <v>1.81</v>
      </c>
      <c r="E1492" s="4">
        <v>4</v>
      </c>
      <c r="F1492" s="8">
        <v>2.7</v>
      </c>
      <c r="G1492" s="4">
        <v>0</v>
      </c>
      <c r="H1492" s="8">
        <v>0</v>
      </c>
      <c r="I1492" s="4">
        <v>0</v>
      </c>
    </row>
    <row r="1493" spans="1:9" x14ac:dyDescent="0.2">
      <c r="A1493" s="2">
        <v>17</v>
      </c>
      <c r="B1493" s="1" t="s">
        <v>124</v>
      </c>
      <c r="C1493" s="4">
        <v>3</v>
      </c>
      <c r="D1493" s="8">
        <v>1.36</v>
      </c>
      <c r="E1493" s="4">
        <v>3</v>
      </c>
      <c r="F1493" s="8">
        <v>2.0299999999999998</v>
      </c>
      <c r="G1493" s="4">
        <v>0</v>
      </c>
      <c r="H1493" s="8">
        <v>0</v>
      </c>
      <c r="I1493" s="4">
        <v>0</v>
      </c>
    </row>
    <row r="1494" spans="1:9" x14ac:dyDescent="0.2">
      <c r="A1494" s="2">
        <v>17</v>
      </c>
      <c r="B1494" s="1" t="s">
        <v>121</v>
      </c>
      <c r="C1494" s="4">
        <v>3</v>
      </c>
      <c r="D1494" s="8">
        <v>1.36</v>
      </c>
      <c r="E1494" s="4">
        <v>0</v>
      </c>
      <c r="F1494" s="8">
        <v>0</v>
      </c>
      <c r="G1494" s="4">
        <v>3</v>
      </c>
      <c r="H1494" s="8">
        <v>4.4800000000000004</v>
      </c>
      <c r="I1494" s="4">
        <v>0</v>
      </c>
    </row>
    <row r="1495" spans="1:9" x14ac:dyDescent="0.2">
      <c r="A1495" s="2">
        <v>19</v>
      </c>
      <c r="B1495" s="1" t="s">
        <v>135</v>
      </c>
      <c r="C1495" s="4">
        <v>2</v>
      </c>
      <c r="D1495" s="8">
        <v>0.9</v>
      </c>
      <c r="E1495" s="4">
        <v>0</v>
      </c>
      <c r="F1495" s="8">
        <v>0</v>
      </c>
      <c r="G1495" s="4">
        <v>2</v>
      </c>
      <c r="H1495" s="8">
        <v>2.99</v>
      </c>
      <c r="I1495" s="4">
        <v>0</v>
      </c>
    </row>
    <row r="1496" spans="1:9" x14ac:dyDescent="0.2">
      <c r="A1496" s="2">
        <v>19</v>
      </c>
      <c r="B1496" s="1" t="s">
        <v>136</v>
      </c>
      <c r="C1496" s="4">
        <v>2</v>
      </c>
      <c r="D1496" s="8">
        <v>0.9</v>
      </c>
      <c r="E1496" s="4">
        <v>2</v>
      </c>
      <c r="F1496" s="8">
        <v>1.35</v>
      </c>
      <c r="G1496" s="4">
        <v>0</v>
      </c>
      <c r="H1496" s="8">
        <v>0</v>
      </c>
      <c r="I1496" s="4">
        <v>0</v>
      </c>
    </row>
    <row r="1497" spans="1:9" x14ac:dyDescent="0.2">
      <c r="A1497" s="2">
        <v>19</v>
      </c>
      <c r="B1497" s="1" t="s">
        <v>119</v>
      </c>
      <c r="C1497" s="4">
        <v>2</v>
      </c>
      <c r="D1497" s="8">
        <v>0.9</v>
      </c>
      <c r="E1497" s="4">
        <v>1</v>
      </c>
      <c r="F1497" s="8">
        <v>0.68</v>
      </c>
      <c r="G1497" s="4">
        <v>1</v>
      </c>
      <c r="H1497" s="8">
        <v>1.49</v>
      </c>
      <c r="I1497" s="4">
        <v>0</v>
      </c>
    </row>
    <row r="1498" spans="1:9" x14ac:dyDescent="0.2">
      <c r="A1498" s="2">
        <v>19</v>
      </c>
      <c r="B1498" s="1" t="s">
        <v>132</v>
      </c>
      <c r="C1498" s="4">
        <v>2</v>
      </c>
      <c r="D1498" s="8">
        <v>0.9</v>
      </c>
      <c r="E1498" s="4">
        <v>1</v>
      </c>
      <c r="F1498" s="8">
        <v>0.68</v>
      </c>
      <c r="G1498" s="4">
        <v>1</v>
      </c>
      <c r="H1498" s="8">
        <v>1.49</v>
      </c>
      <c r="I1498" s="4">
        <v>0</v>
      </c>
    </row>
    <row r="1499" spans="1:9" x14ac:dyDescent="0.2">
      <c r="A1499" s="2">
        <v>19</v>
      </c>
      <c r="B1499" s="1" t="s">
        <v>101</v>
      </c>
      <c r="C1499" s="4">
        <v>2</v>
      </c>
      <c r="D1499" s="8">
        <v>0.9</v>
      </c>
      <c r="E1499" s="4">
        <v>0</v>
      </c>
      <c r="F1499" s="8">
        <v>0</v>
      </c>
      <c r="G1499" s="4">
        <v>2</v>
      </c>
      <c r="H1499" s="8">
        <v>2.99</v>
      </c>
      <c r="I1499" s="4">
        <v>0</v>
      </c>
    </row>
    <row r="1500" spans="1:9" x14ac:dyDescent="0.2">
      <c r="A1500" s="2">
        <v>19</v>
      </c>
      <c r="B1500" s="1" t="s">
        <v>102</v>
      </c>
      <c r="C1500" s="4">
        <v>2</v>
      </c>
      <c r="D1500" s="8">
        <v>0.9</v>
      </c>
      <c r="E1500" s="4">
        <v>2</v>
      </c>
      <c r="F1500" s="8">
        <v>1.35</v>
      </c>
      <c r="G1500" s="4">
        <v>0</v>
      </c>
      <c r="H1500" s="8">
        <v>0</v>
      </c>
      <c r="I1500" s="4">
        <v>0</v>
      </c>
    </row>
    <row r="1501" spans="1:9" x14ac:dyDescent="0.2">
      <c r="A1501" s="2">
        <v>19</v>
      </c>
      <c r="B1501" s="1" t="s">
        <v>118</v>
      </c>
      <c r="C1501" s="4">
        <v>2</v>
      </c>
      <c r="D1501" s="8">
        <v>0.9</v>
      </c>
      <c r="E1501" s="4">
        <v>1</v>
      </c>
      <c r="F1501" s="8">
        <v>0.68</v>
      </c>
      <c r="G1501" s="4">
        <v>1</v>
      </c>
      <c r="H1501" s="8">
        <v>1.49</v>
      </c>
      <c r="I1501" s="4">
        <v>0</v>
      </c>
    </row>
    <row r="1502" spans="1:9" x14ac:dyDescent="0.2">
      <c r="A1502" s="2">
        <v>19</v>
      </c>
      <c r="B1502" s="1" t="s">
        <v>127</v>
      </c>
      <c r="C1502" s="4">
        <v>2</v>
      </c>
      <c r="D1502" s="8">
        <v>0.9</v>
      </c>
      <c r="E1502" s="4">
        <v>2</v>
      </c>
      <c r="F1502" s="8">
        <v>1.35</v>
      </c>
      <c r="G1502" s="4">
        <v>0</v>
      </c>
      <c r="H1502" s="8">
        <v>0</v>
      </c>
      <c r="I1502" s="4">
        <v>0</v>
      </c>
    </row>
    <row r="1503" spans="1:9" x14ac:dyDescent="0.2">
      <c r="A1503" s="1"/>
      <c r="C1503" s="4"/>
      <c r="D1503" s="8"/>
      <c r="E1503" s="4"/>
      <c r="F1503" s="8"/>
      <c r="G1503" s="4"/>
      <c r="H1503" s="8"/>
      <c r="I1503" s="4"/>
    </row>
    <row r="1504" spans="1:9" x14ac:dyDescent="0.2">
      <c r="A1504" s="1" t="s">
        <v>65</v>
      </c>
      <c r="C1504" s="4"/>
      <c r="D1504" s="8"/>
      <c r="E1504" s="4"/>
      <c r="F1504" s="8"/>
      <c r="G1504" s="4"/>
      <c r="H1504" s="8"/>
      <c r="I1504" s="4"/>
    </row>
    <row r="1505" spans="1:9" x14ac:dyDescent="0.2">
      <c r="A1505" s="2">
        <v>1</v>
      </c>
      <c r="B1505" s="1" t="s">
        <v>113</v>
      </c>
      <c r="C1505" s="4">
        <v>15</v>
      </c>
      <c r="D1505" s="8">
        <v>14.85</v>
      </c>
      <c r="E1505" s="4">
        <v>13</v>
      </c>
      <c r="F1505" s="8">
        <v>25</v>
      </c>
      <c r="G1505" s="4">
        <v>2</v>
      </c>
      <c r="H1505" s="8">
        <v>4.4400000000000004</v>
      </c>
      <c r="I1505" s="4">
        <v>0</v>
      </c>
    </row>
    <row r="1506" spans="1:9" x14ac:dyDescent="0.2">
      <c r="A1506" s="2">
        <v>2</v>
      </c>
      <c r="B1506" s="1" t="s">
        <v>98</v>
      </c>
      <c r="C1506" s="4">
        <v>14</v>
      </c>
      <c r="D1506" s="8">
        <v>13.86</v>
      </c>
      <c r="E1506" s="4">
        <v>0</v>
      </c>
      <c r="F1506" s="8">
        <v>0</v>
      </c>
      <c r="G1506" s="4">
        <v>14</v>
      </c>
      <c r="H1506" s="8">
        <v>31.11</v>
      </c>
      <c r="I1506" s="4">
        <v>0</v>
      </c>
    </row>
    <row r="1507" spans="1:9" x14ac:dyDescent="0.2">
      <c r="A1507" s="2">
        <v>3</v>
      </c>
      <c r="B1507" s="1" t="s">
        <v>105</v>
      </c>
      <c r="C1507" s="4">
        <v>9</v>
      </c>
      <c r="D1507" s="8">
        <v>8.91</v>
      </c>
      <c r="E1507" s="4">
        <v>8</v>
      </c>
      <c r="F1507" s="8">
        <v>15.38</v>
      </c>
      <c r="G1507" s="4">
        <v>1</v>
      </c>
      <c r="H1507" s="8">
        <v>2.2200000000000002</v>
      </c>
      <c r="I1507" s="4">
        <v>0</v>
      </c>
    </row>
    <row r="1508" spans="1:9" x14ac:dyDescent="0.2">
      <c r="A1508" s="2">
        <v>3</v>
      </c>
      <c r="B1508" s="1" t="s">
        <v>107</v>
      </c>
      <c r="C1508" s="4">
        <v>9</v>
      </c>
      <c r="D1508" s="8">
        <v>8.91</v>
      </c>
      <c r="E1508" s="4">
        <v>3</v>
      </c>
      <c r="F1508" s="8">
        <v>5.77</v>
      </c>
      <c r="G1508" s="4">
        <v>6</v>
      </c>
      <c r="H1508" s="8">
        <v>13.33</v>
      </c>
      <c r="I1508" s="4">
        <v>0</v>
      </c>
    </row>
    <row r="1509" spans="1:9" x14ac:dyDescent="0.2">
      <c r="A1509" s="2">
        <v>5</v>
      </c>
      <c r="B1509" s="1" t="s">
        <v>112</v>
      </c>
      <c r="C1509" s="4">
        <v>7</v>
      </c>
      <c r="D1509" s="8">
        <v>6.93</v>
      </c>
      <c r="E1509" s="4">
        <v>5</v>
      </c>
      <c r="F1509" s="8">
        <v>9.6199999999999992</v>
      </c>
      <c r="G1509" s="4">
        <v>2</v>
      </c>
      <c r="H1509" s="8">
        <v>4.4400000000000004</v>
      </c>
      <c r="I1509" s="4">
        <v>0</v>
      </c>
    </row>
    <row r="1510" spans="1:9" x14ac:dyDescent="0.2">
      <c r="A1510" s="2">
        <v>6</v>
      </c>
      <c r="B1510" s="1" t="s">
        <v>106</v>
      </c>
      <c r="C1510" s="4">
        <v>6</v>
      </c>
      <c r="D1510" s="8">
        <v>5.94</v>
      </c>
      <c r="E1510" s="4">
        <v>5</v>
      </c>
      <c r="F1510" s="8">
        <v>9.6199999999999992</v>
      </c>
      <c r="G1510" s="4">
        <v>1</v>
      </c>
      <c r="H1510" s="8">
        <v>2.2200000000000002</v>
      </c>
      <c r="I1510" s="4">
        <v>0</v>
      </c>
    </row>
    <row r="1511" spans="1:9" x14ac:dyDescent="0.2">
      <c r="A1511" s="2">
        <v>7</v>
      </c>
      <c r="B1511" s="1" t="s">
        <v>119</v>
      </c>
      <c r="C1511" s="4">
        <v>5</v>
      </c>
      <c r="D1511" s="8">
        <v>4.95</v>
      </c>
      <c r="E1511" s="4">
        <v>0</v>
      </c>
      <c r="F1511" s="8">
        <v>0</v>
      </c>
      <c r="G1511" s="4">
        <v>5</v>
      </c>
      <c r="H1511" s="8">
        <v>11.11</v>
      </c>
      <c r="I1511" s="4">
        <v>0</v>
      </c>
    </row>
    <row r="1512" spans="1:9" x14ac:dyDescent="0.2">
      <c r="A1512" s="2">
        <v>8</v>
      </c>
      <c r="B1512" s="1" t="s">
        <v>100</v>
      </c>
      <c r="C1512" s="4">
        <v>4</v>
      </c>
      <c r="D1512" s="8">
        <v>3.96</v>
      </c>
      <c r="E1512" s="4">
        <v>3</v>
      </c>
      <c r="F1512" s="8">
        <v>5.77</v>
      </c>
      <c r="G1512" s="4">
        <v>1</v>
      </c>
      <c r="H1512" s="8">
        <v>2.2200000000000002</v>
      </c>
      <c r="I1512" s="4">
        <v>0</v>
      </c>
    </row>
    <row r="1513" spans="1:9" x14ac:dyDescent="0.2">
      <c r="A1513" s="2">
        <v>9</v>
      </c>
      <c r="B1513" s="1" t="s">
        <v>99</v>
      </c>
      <c r="C1513" s="4">
        <v>3</v>
      </c>
      <c r="D1513" s="8">
        <v>2.97</v>
      </c>
      <c r="E1513" s="4">
        <v>0</v>
      </c>
      <c r="F1513" s="8">
        <v>0</v>
      </c>
      <c r="G1513" s="4">
        <v>3</v>
      </c>
      <c r="H1513" s="8">
        <v>6.67</v>
      </c>
      <c r="I1513" s="4">
        <v>0</v>
      </c>
    </row>
    <row r="1514" spans="1:9" x14ac:dyDescent="0.2">
      <c r="A1514" s="2">
        <v>9</v>
      </c>
      <c r="B1514" s="1" t="s">
        <v>104</v>
      </c>
      <c r="C1514" s="4">
        <v>3</v>
      </c>
      <c r="D1514" s="8">
        <v>2.97</v>
      </c>
      <c r="E1514" s="4">
        <v>3</v>
      </c>
      <c r="F1514" s="8">
        <v>5.77</v>
      </c>
      <c r="G1514" s="4">
        <v>0</v>
      </c>
      <c r="H1514" s="8">
        <v>0</v>
      </c>
      <c r="I1514" s="4">
        <v>0</v>
      </c>
    </row>
    <row r="1515" spans="1:9" x14ac:dyDescent="0.2">
      <c r="A1515" s="2">
        <v>9</v>
      </c>
      <c r="B1515" s="1" t="s">
        <v>114</v>
      </c>
      <c r="C1515" s="4">
        <v>3</v>
      </c>
      <c r="D1515" s="8">
        <v>2.97</v>
      </c>
      <c r="E1515" s="4">
        <v>2</v>
      </c>
      <c r="F1515" s="8">
        <v>3.85</v>
      </c>
      <c r="G1515" s="4">
        <v>0</v>
      </c>
      <c r="H1515" s="8">
        <v>0</v>
      </c>
      <c r="I1515" s="4">
        <v>0</v>
      </c>
    </row>
    <row r="1516" spans="1:9" x14ac:dyDescent="0.2">
      <c r="A1516" s="2">
        <v>9</v>
      </c>
      <c r="B1516" s="1" t="s">
        <v>115</v>
      </c>
      <c r="C1516" s="4">
        <v>3</v>
      </c>
      <c r="D1516" s="8">
        <v>2.97</v>
      </c>
      <c r="E1516" s="4">
        <v>3</v>
      </c>
      <c r="F1516" s="8">
        <v>5.77</v>
      </c>
      <c r="G1516" s="4">
        <v>0</v>
      </c>
      <c r="H1516" s="8">
        <v>0</v>
      </c>
      <c r="I1516" s="4">
        <v>0</v>
      </c>
    </row>
    <row r="1517" spans="1:9" x14ac:dyDescent="0.2">
      <c r="A1517" s="2">
        <v>9</v>
      </c>
      <c r="B1517" s="1" t="s">
        <v>116</v>
      </c>
      <c r="C1517" s="4">
        <v>3</v>
      </c>
      <c r="D1517" s="8">
        <v>2.97</v>
      </c>
      <c r="E1517" s="4">
        <v>0</v>
      </c>
      <c r="F1517" s="8">
        <v>0</v>
      </c>
      <c r="G1517" s="4">
        <v>1</v>
      </c>
      <c r="H1517" s="8">
        <v>2.2200000000000002</v>
      </c>
      <c r="I1517" s="4">
        <v>0</v>
      </c>
    </row>
    <row r="1518" spans="1:9" x14ac:dyDescent="0.2">
      <c r="A1518" s="2">
        <v>9</v>
      </c>
      <c r="B1518" s="1" t="s">
        <v>123</v>
      </c>
      <c r="C1518" s="4">
        <v>3</v>
      </c>
      <c r="D1518" s="8">
        <v>2.97</v>
      </c>
      <c r="E1518" s="4">
        <v>3</v>
      </c>
      <c r="F1518" s="8">
        <v>5.77</v>
      </c>
      <c r="G1518" s="4">
        <v>0</v>
      </c>
      <c r="H1518" s="8">
        <v>0</v>
      </c>
      <c r="I1518" s="4">
        <v>0</v>
      </c>
    </row>
    <row r="1519" spans="1:9" x14ac:dyDescent="0.2">
      <c r="A1519" s="2">
        <v>15</v>
      </c>
      <c r="B1519" s="1" t="s">
        <v>103</v>
      </c>
      <c r="C1519" s="4">
        <v>2</v>
      </c>
      <c r="D1519" s="8">
        <v>1.98</v>
      </c>
      <c r="E1519" s="4">
        <v>1</v>
      </c>
      <c r="F1519" s="8">
        <v>1.92</v>
      </c>
      <c r="G1519" s="4">
        <v>1</v>
      </c>
      <c r="H1519" s="8">
        <v>2.2200000000000002</v>
      </c>
      <c r="I1519" s="4">
        <v>0</v>
      </c>
    </row>
    <row r="1520" spans="1:9" x14ac:dyDescent="0.2">
      <c r="A1520" s="2">
        <v>16</v>
      </c>
      <c r="B1520" s="1" t="s">
        <v>135</v>
      </c>
      <c r="C1520" s="4">
        <v>1</v>
      </c>
      <c r="D1520" s="8">
        <v>0.99</v>
      </c>
      <c r="E1520" s="4">
        <v>0</v>
      </c>
      <c r="F1520" s="8">
        <v>0</v>
      </c>
      <c r="G1520" s="4">
        <v>1</v>
      </c>
      <c r="H1520" s="8">
        <v>2.2200000000000002</v>
      </c>
      <c r="I1520" s="4">
        <v>0</v>
      </c>
    </row>
    <row r="1521" spans="1:9" x14ac:dyDescent="0.2">
      <c r="A1521" s="2">
        <v>16</v>
      </c>
      <c r="B1521" s="1" t="s">
        <v>131</v>
      </c>
      <c r="C1521" s="4">
        <v>1</v>
      </c>
      <c r="D1521" s="8">
        <v>0.99</v>
      </c>
      <c r="E1521" s="4">
        <v>0</v>
      </c>
      <c r="F1521" s="8">
        <v>0</v>
      </c>
      <c r="G1521" s="4">
        <v>1</v>
      </c>
      <c r="H1521" s="8">
        <v>2.2200000000000002</v>
      </c>
      <c r="I1521" s="4">
        <v>0</v>
      </c>
    </row>
    <row r="1522" spans="1:9" x14ac:dyDescent="0.2">
      <c r="A1522" s="2">
        <v>16</v>
      </c>
      <c r="B1522" s="1" t="s">
        <v>142</v>
      </c>
      <c r="C1522" s="4">
        <v>1</v>
      </c>
      <c r="D1522" s="8">
        <v>0.99</v>
      </c>
      <c r="E1522" s="4">
        <v>0</v>
      </c>
      <c r="F1522" s="8">
        <v>0</v>
      </c>
      <c r="G1522" s="4">
        <v>1</v>
      </c>
      <c r="H1522" s="8">
        <v>2.2200000000000002</v>
      </c>
      <c r="I1522" s="4">
        <v>0</v>
      </c>
    </row>
    <row r="1523" spans="1:9" x14ac:dyDescent="0.2">
      <c r="A1523" s="2">
        <v>16</v>
      </c>
      <c r="B1523" s="1" t="s">
        <v>136</v>
      </c>
      <c r="C1523" s="4">
        <v>1</v>
      </c>
      <c r="D1523" s="8">
        <v>0.99</v>
      </c>
      <c r="E1523" s="4">
        <v>1</v>
      </c>
      <c r="F1523" s="8">
        <v>1.92</v>
      </c>
      <c r="G1523" s="4">
        <v>0</v>
      </c>
      <c r="H1523" s="8">
        <v>0</v>
      </c>
      <c r="I1523" s="4">
        <v>0</v>
      </c>
    </row>
    <row r="1524" spans="1:9" x14ac:dyDescent="0.2">
      <c r="A1524" s="2">
        <v>16</v>
      </c>
      <c r="B1524" s="1" t="s">
        <v>129</v>
      </c>
      <c r="C1524" s="4">
        <v>1</v>
      </c>
      <c r="D1524" s="8">
        <v>0.99</v>
      </c>
      <c r="E1524" s="4">
        <v>0</v>
      </c>
      <c r="F1524" s="8">
        <v>0</v>
      </c>
      <c r="G1524" s="4">
        <v>1</v>
      </c>
      <c r="H1524" s="8">
        <v>2.2200000000000002</v>
      </c>
      <c r="I1524" s="4">
        <v>0</v>
      </c>
    </row>
    <row r="1525" spans="1:9" x14ac:dyDescent="0.2">
      <c r="A1525" s="2">
        <v>16</v>
      </c>
      <c r="B1525" s="1" t="s">
        <v>148</v>
      </c>
      <c r="C1525" s="4">
        <v>1</v>
      </c>
      <c r="D1525" s="8">
        <v>0.99</v>
      </c>
      <c r="E1525" s="4">
        <v>0</v>
      </c>
      <c r="F1525" s="8">
        <v>0</v>
      </c>
      <c r="G1525" s="4">
        <v>0</v>
      </c>
      <c r="H1525" s="8">
        <v>0</v>
      </c>
      <c r="I1525" s="4">
        <v>0</v>
      </c>
    </row>
    <row r="1526" spans="1:9" x14ac:dyDescent="0.2">
      <c r="A1526" s="2">
        <v>16</v>
      </c>
      <c r="B1526" s="1" t="s">
        <v>125</v>
      </c>
      <c r="C1526" s="4">
        <v>1</v>
      </c>
      <c r="D1526" s="8">
        <v>0.99</v>
      </c>
      <c r="E1526" s="4">
        <v>0</v>
      </c>
      <c r="F1526" s="8">
        <v>0</v>
      </c>
      <c r="G1526" s="4">
        <v>1</v>
      </c>
      <c r="H1526" s="8">
        <v>2.2200000000000002</v>
      </c>
      <c r="I1526" s="4">
        <v>0</v>
      </c>
    </row>
    <row r="1527" spans="1:9" x14ac:dyDescent="0.2">
      <c r="A1527" s="2">
        <v>16</v>
      </c>
      <c r="B1527" s="1" t="s">
        <v>102</v>
      </c>
      <c r="C1527" s="4">
        <v>1</v>
      </c>
      <c r="D1527" s="8">
        <v>0.99</v>
      </c>
      <c r="E1527" s="4">
        <v>0</v>
      </c>
      <c r="F1527" s="8">
        <v>0</v>
      </c>
      <c r="G1527" s="4">
        <v>1</v>
      </c>
      <c r="H1527" s="8">
        <v>2.2200000000000002</v>
      </c>
      <c r="I1527" s="4">
        <v>0</v>
      </c>
    </row>
    <row r="1528" spans="1:9" x14ac:dyDescent="0.2">
      <c r="A1528" s="2">
        <v>16</v>
      </c>
      <c r="B1528" s="1" t="s">
        <v>108</v>
      </c>
      <c r="C1528" s="4">
        <v>1</v>
      </c>
      <c r="D1528" s="8">
        <v>0.99</v>
      </c>
      <c r="E1528" s="4">
        <v>0</v>
      </c>
      <c r="F1528" s="8">
        <v>0</v>
      </c>
      <c r="G1528" s="4">
        <v>1</v>
      </c>
      <c r="H1528" s="8">
        <v>2.2200000000000002</v>
      </c>
      <c r="I1528" s="4">
        <v>0</v>
      </c>
    </row>
    <row r="1529" spans="1:9" x14ac:dyDescent="0.2">
      <c r="A1529" s="2">
        <v>16</v>
      </c>
      <c r="B1529" s="1" t="s">
        <v>109</v>
      </c>
      <c r="C1529" s="4">
        <v>1</v>
      </c>
      <c r="D1529" s="8">
        <v>0.99</v>
      </c>
      <c r="E1529" s="4">
        <v>1</v>
      </c>
      <c r="F1529" s="8">
        <v>1.92</v>
      </c>
      <c r="G1529" s="4">
        <v>0</v>
      </c>
      <c r="H1529" s="8">
        <v>0</v>
      </c>
      <c r="I1529" s="4">
        <v>0</v>
      </c>
    </row>
    <row r="1530" spans="1:9" x14ac:dyDescent="0.2">
      <c r="A1530" s="2">
        <v>16</v>
      </c>
      <c r="B1530" s="1" t="s">
        <v>121</v>
      </c>
      <c r="C1530" s="4">
        <v>1</v>
      </c>
      <c r="D1530" s="8">
        <v>0.99</v>
      </c>
      <c r="E1530" s="4">
        <v>1</v>
      </c>
      <c r="F1530" s="8">
        <v>1.92</v>
      </c>
      <c r="G1530" s="4">
        <v>0</v>
      </c>
      <c r="H1530" s="8">
        <v>0</v>
      </c>
      <c r="I1530" s="4">
        <v>0</v>
      </c>
    </row>
    <row r="1531" spans="1:9" x14ac:dyDescent="0.2">
      <c r="A1531" s="2">
        <v>16</v>
      </c>
      <c r="B1531" s="1" t="s">
        <v>118</v>
      </c>
      <c r="C1531" s="4">
        <v>1</v>
      </c>
      <c r="D1531" s="8">
        <v>0.99</v>
      </c>
      <c r="E1531" s="4">
        <v>0</v>
      </c>
      <c r="F1531" s="8">
        <v>0</v>
      </c>
      <c r="G1531" s="4">
        <v>1</v>
      </c>
      <c r="H1531" s="8">
        <v>2.2200000000000002</v>
      </c>
      <c r="I1531" s="4">
        <v>0</v>
      </c>
    </row>
    <row r="1532" spans="1:9" x14ac:dyDescent="0.2">
      <c r="A1532" s="1"/>
      <c r="C1532" s="4"/>
      <c r="D1532" s="8"/>
      <c r="E1532" s="4"/>
      <c r="F1532" s="8"/>
      <c r="G1532" s="4"/>
      <c r="H1532" s="8"/>
      <c r="I1532" s="4"/>
    </row>
    <row r="1533" spans="1:9" x14ac:dyDescent="0.2">
      <c r="A1533" s="1" t="s">
        <v>66</v>
      </c>
      <c r="C1533" s="4"/>
      <c r="D1533" s="8"/>
      <c r="E1533" s="4"/>
      <c r="F1533" s="8"/>
      <c r="G1533" s="4"/>
      <c r="H1533" s="8"/>
      <c r="I1533" s="4"/>
    </row>
    <row r="1534" spans="1:9" x14ac:dyDescent="0.2">
      <c r="A1534" s="2">
        <v>1</v>
      </c>
      <c r="B1534" s="1" t="s">
        <v>98</v>
      </c>
      <c r="C1534" s="4">
        <v>47</v>
      </c>
      <c r="D1534" s="8">
        <v>14.6</v>
      </c>
      <c r="E1534" s="4">
        <v>7</v>
      </c>
      <c r="F1534" s="8">
        <v>3.63</v>
      </c>
      <c r="G1534" s="4">
        <v>40</v>
      </c>
      <c r="H1534" s="8">
        <v>31.5</v>
      </c>
      <c r="I1534" s="4">
        <v>0</v>
      </c>
    </row>
    <row r="1535" spans="1:9" x14ac:dyDescent="0.2">
      <c r="A1535" s="2">
        <v>1</v>
      </c>
      <c r="B1535" s="1" t="s">
        <v>113</v>
      </c>
      <c r="C1535" s="4">
        <v>47</v>
      </c>
      <c r="D1535" s="8">
        <v>14.6</v>
      </c>
      <c r="E1535" s="4">
        <v>42</v>
      </c>
      <c r="F1535" s="8">
        <v>21.76</v>
      </c>
      <c r="G1535" s="4">
        <v>5</v>
      </c>
      <c r="H1535" s="8">
        <v>3.94</v>
      </c>
      <c r="I1535" s="4">
        <v>0</v>
      </c>
    </row>
    <row r="1536" spans="1:9" x14ac:dyDescent="0.2">
      <c r="A1536" s="2">
        <v>3</v>
      </c>
      <c r="B1536" s="1" t="s">
        <v>105</v>
      </c>
      <c r="C1536" s="4">
        <v>33</v>
      </c>
      <c r="D1536" s="8">
        <v>10.25</v>
      </c>
      <c r="E1536" s="4">
        <v>30</v>
      </c>
      <c r="F1536" s="8">
        <v>15.54</v>
      </c>
      <c r="G1536" s="4">
        <v>3</v>
      </c>
      <c r="H1536" s="8">
        <v>2.36</v>
      </c>
      <c r="I1536" s="4">
        <v>0</v>
      </c>
    </row>
    <row r="1537" spans="1:9" x14ac:dyDescent="0.2">
      <c r="A1537" s="2">
        <v>4</v>
      </c>
      <c r="B1537" s="1" t="s">
        <v>112</v>
      </c>
      <c r="C1537" s="4">
        <v>27</v>
      </c>
      <c r="D1537" s="8">
        <v>8.39</v>
      </c>
      <c r="E1537" s="4">
        <v>23</v>
      </c>
      <c r="F1537" s="8">
        <v>11.92</v>
      </c>
      <c r="G1537" s="4">
        <v>4</v>
      </c>
      <c r="H1537" s="8">
        <v>3.15</v>
      </c>
      <c r="I1537" s="4">
        <v>0</v>
      </c>
    </row>
    <row r="1538" spans="1:9" x14ac:dyDescent="0.2">
      <c r="A1538" s="2">
        <v>5</v>
      </c>
      <c r="B1538" s="1" t="s">
        <v>107</v>
      </c>
      <c r="C1538" s="4">
        <v>22</v>
      </c>
      <c r="D1538" s="8">
        <v>6.83</v>
      </c>
      <c r="E1538" s="4">
        <v>15</v>
      </c>
      <c r="F1538" s="8">
        <v>7.77</v>
      </c>
      <c r="G1538" s="4">
        <v>7</v>
      </c>
      <c r="H1538" s="8">
        <v>5.51</v>
      </c>
      <c r="I1538" s="4">
        <v>0</v>
      </c>
    </row>
    <row r="1539" spans="1:9" x14ac:dyDescent="0.2">
      <c r="A1539" s="2">
        <v>6</v>
      </c>
      <c r="B1539" s="1" t="s">
        <v>100</v>
      </c>
      <c r="C1539" s="4">
        <v>17</v>
      </c>
      <c r="D1539" s="8">
        <v>5.28</v>
      </c>
      <c r="E1539" s="4">
        <v>6</v>
      </c>
      <c r="F1539" s="8">
        <v>3.11</v>
      </c>
      <c r="G1539" s="4">
        <v>11</v>
      </c>
      <c r="H1539" s="8">
        <v>8.66</v>
      </c>
      <c r="I1539" s="4">
        <v>0</v>
      </c>
    </row>
    <row r="1540" spans="1:9" x14ac:dyDescent="0.2">
      <c r="A1540" s="2">
        <v>7</v>
      </c>
      <c r="B1540" s="1" t="s">
        <v>106</v>
      </c>
      <c r="C1540" s="4">
        <v>15</v>
      </c>
      <c r="D1540" s="8">
        <v>4.66</v>
      </c>
      <c r="E1540" s="4">
        <v>10</v>
      </c>
      <c r="F1540" s="8">
        <v>5.18</v>
      </c>
      <c r="G1540" s="4">
        <v>5</v>
      </c>
      <c r="H1540" s="8">
        <v>3.94</v>
      </c>
      <c r="I1540" s="4">
        <v>0</v>
      </c>
    </row>
    <row r="1541" spans="1:9" x14ac:dyDescent="0.2">
      <c r="A1541" s="2">
        <v>8</v>
      </c>
      <c r="B1541" s="1" t="s">
        <v>109</v>
      </c>
      <c r="C1541" s="4">
        <v>12</v>
      </c>
      <c r="D1541" s="8">
        <v>3.73</v>
      </c>
      <c r="E1541" s="4">
        <v>7</v>
      </c>
      <c r="F1541" s="8">
        <v>3.63</v>
      </c>
      <c r="G1541" s="4">
        <v>5</v>
      </c>
      <c r="H1541" s="8">
        <v>3.94</v>
      </c>
      <c r="I1541" s="4">
        <v>0</v>
      </c>
    </row>
    <row r="1542" spans="1:9" x14ac:dyDescent="0.2">
      <c r="A1542" s="2">
        <v>9</v>
      </c>
      <c r="B1542" s="1" t="s">
        <v>99</v>
      </c>
      <c r="C1542" s="4">
        <v>11</v>
      </c>
      <c r="D1542" s="8">
        <v>3.42</v>
      </c>
      <c r="E1542" s="4">
        <v>6</v>
      </c>
      <c r="F1542" s="8">
        <v>3.11</v>
      </c>
      <c r="G1542" s="4">
        <v>5</v>
      </c>
      <c r="H1542" s="8">
        <v>3.94</v>
      </c>
      <c r="I1542" s="4">
        <v>0</v>
      </c>
    </row>
    <row r="1543" spans="1:9" x14ac:dyDescent="0.2">
      <c r="A1543" s="2">
        <v>10</v>
      </c>
      <c r="B1543" s="1" t="s">
        <v>123</v>
      </c>
      <c r="C1543" s="4">
        <v>10</v>
      </c>
      <c r="D1543" s="8">
        <v>3.11</v>
      </c>
      <c r="E1543" s="4">
        <v>10</v>
      </c>
      <c r="F1543" s="8">
        <v>5.18</v>
      </c>
      <c r="G1543" s="4">
        <v>0</v>
      </c>
      <c r="H1543" s="8">
        <v>0</v>
      </c>
      <c r="I1543" s="4">
        <v>0</v>
      </c>
    </row>
    <row r="1544" spans="1:9" x14ac:dyDescent="0.2">
      <c r="A1544" s="2">
        <v>11</v>
      </c>
      <c r="B1544" s="1" t="s">
        <v>118</v>
      </c>
      <c r="C1544" s="4">
        <v>9</v>
      </c>
      <c r="D1544" s="8">
        <v>2.8</v>
      </c>
      <c r="E1544" s="4">
        <v>7</v>
      </c>
      <c r="F1544" s="8">
        <v>3.63</v>
      </c>
      <c r="G1544" s="4">
        <v>2</v>
      </c>
      <c r="H1544" s="8">
        <v>1.57</v>
      </c>
      <c r="I1544" s="4">
        <v>0</v>
      </c>
    </row>
    <row r="1545" spans="1:9" x14ac:dyDescent="0.2">
      <c r="A1545" s="2">
        <v>11</v>
      </c>
      <c r="B1545" s="1" t="s">
        <v>115</v>
      </c>
      <c r="C1545" s="4">
        <v>9</v>
      </c>
      <c r="D1545" s="8">
        <v>2.8</v>
      </c>
      <c r="E1545" s="4">
        <v>6</v>
      </c>
      <c r="F1545" s="8">
        <v>3.11</v>
      </c>
      <c r="G1545" s="4">
        <v>3</v>
      </c>
      <c r="H1545" s="8">
        <v>2.36</v>
      </c>
      <c r="I1545" s="4">
        <v>0</v>
      </c>
    </row>
    <row r="1546" spans="1:9" x14ac:dyDescent="0.2">
      <c r="A1546" s="2">
        <v>13</v>
      </c>
      <c r="B1546" s="1" t="s">
        <v>114</v>
      </c>
      <c r="C1546" s="4">
        <v>7</v>
      </c>
      <c r="D1546" s="8">
        <v>2.17</v>
      </c>
      <c r="E1546" s="4">
        <v>6</v>
      </c>
      <c r="F1546" s="8">
        <v>3.11</v>
      </c>
      <c r="G1546" s="4">
        <v>1</v>
      </c>
      <c r="H1546" s="8">
        <v>0.79</v>
      </c>
      <c r="I1546" s="4">
        <v>0</v>
      </c>
    </row>
    <row r="1547" spans="1:9" x14ac:dyDescent="0.2">
      <c r="A1547" s="2">
        <v>14</v>
      </c>
      <c r="B1547" s="1" t="s">
        <v>104</v>
      </c>
      <c r="C1547" s="4">
        <v>5</v>
      </c>
      <c r="D1547" s="8">
        <v>1.55</v>
      </c>
      <c r="E1547" s="4">
        <v>5</v>
      </c>
      <c r="F1547" s="8">
        <v>2.59</v>
      </c>
      <c r="G1547" s="4">
        <v>0</v>
      </c>
      <c r="H1547" s="8">
        <v>0</v>
      </c>
      <c r="I1547" s="4">
        <v>0</v>
      </c>
    </row>
    <row r="1548" spans="1:9" x14ac:dyDescent="0.2">
      <c r="A1548" s="2">
        <v>15</v>
      </c>
      <c r="B1548" s="1" t="s">
        <v>121</v>
      </c>
      <c r="C1548" s="4">
        <v>4</v>
      </c>
      <c r="D1548" s="8">
        <v>1.24</v>
      </c>
      <c r="E1548" s="4">
        <v>1</v>
      </c>
      <c r="F1548" s="8">
        <v>0.52</v>
      </c>
      <c r="G1548" s="4">
        <v>2</v>
      </c>
      <c r="H1548" s="8">
        <v>1.57</v>
      </c>
      <c r="I1548" s="4">
        <v>0</v>
      </c>
    </row>
    <row r="1549" spans="1:9" x14ac:dyDescent="0.2">
      <c r="A1549" s="2">
        <v>15</v>
      </c>
      <c r="B1549" s="1" t="s">
        <v>116</v>
      </c>
      <c r="C1549" s="4">
        <v>4</v>
      </c>
      <c r="D1549" s="8">
        <v>1.24</v>
      </c>
      <c r="E1549" s="4">
        <v>1</v>
      </c>
      <c r="F1549" s="8">
        <v>0.52</v>
      </c>
      <c r="G1549" s="4">
        <v>3</v>
      </c>
      <c r="H1549" s="8">
        <v>2.36</v>
      </c>
      <c r="I1549" s="4">
        <v>0</v>
      </c>
    </row>
    <row r="1550" spans="1:9" x14ac:dyDescent="0.2">
      <c r="A1550" s="2">
        <v>17</v>
      </c>
      <c r="B1550" s="1" t="s">
        <v>131</v>
      </c>
      <c r="C1550" s="4">
        <v>3</v>
      </c>
      <c r="D1550" s="8">
        <v>0.93</v>
      </c>
      <c r="E1550" s="4">
        <v>2</v>
      </c>
      <c r="F1550" s="8">
        <v>1.04</v>
      </c>
      <c r="G1550" s="4">
        <v>1</v>
      </c>
      <c r="H1550" s="8">
        <v>0.79</v>
      </c>
      <c r="I1550" s="4">
        <v>0</v>
      </c>
    </row>
    <row r="1551" spans="1:9" x14ac:dyDescent="0.2">
      <c r="A1551" s="2">
        <v>17</v>
      </c>
      <c r="B1551" s="1" t="s">
        <v>119</v>
      </c>
      <c r="C1551" s="4">
        <v>3</v>
      </c>
      <c r="D1551" s="8">
        <v>0.93</v>
      </c>
      <c r="E1551" s="4">
        <v>1</v>
      </c>
      <c r="F1551" s="8">
        <v>0.52</v>
      </c>
      <c r="G1551" s="4">
        <v>2</v>
      </c>
      <c r="H1551" s="8">
        <v>1.57</v>
      </c>
      <c r="I1551" s="4">
        <v>0</v>
      </c>
    </row>
    <row r="1552" spans="1:9" x14ac:dyDescent="0.2">
      <c r="A1552" s="2">
        <v>17</v>
      </c>
      <c r="B1552" s="1" t="s">
        <v>146</v>
      </c>
      <c r="C1552" s="4">
        <v>3</v>
      </c>
      <c r="D1552" s="8">
        <v>0.93</v>
      </c>
      <c r="E1552" s="4">
        <v>0</v>
      </c>
      <c r="F1552" s="8">
        <v>0</v>
      </c>
      <c r="G1552" s="4">
        <v>3</v>
      </c>
      <c r="H1552" s="8">
        <v>2.36</v>
      </c>
      <c r="I1552" s="4">
        <v>0</v>
      </c>
    </row>
    <row r="1553" spans="1:9" x14ac:dyDescent="0.2">
      <c r="A1553" s="2">
        <v>17</v>
      </c>
      <c r="B1553" s="1" t="s">
        <v>102</v>
      </c>
      <c r="C1553" s="4">
        <v>3</v>
      </c>
      <c r="D1553" s="8">
        <v>0.93</v>
      </c>
      <c r="E1553" s="4">
        <v>0</v>
      </c>
      <c r="F1553" s="8">
        <v>0</v>
      </c>
      <c r="G1553" s="4">
        <v>3</v>
      </c>
      <c r="H1553" s="8">
        <v>2.36</v>
      </c>
      <c r="I1553" s="4">
        <v>0</v>
      </c>
    </row>
    <row r="1554" spans="1:9" x14ac:dyDescent="0.2">
      <c r="A1554" s="2">
        <v>17</v>
      </c>
      <c r="B1554" s="1" t="s">
        <v>111</v>
      </c>
      <c r="C1554" s="4">
        <v>3</v>
      </c>
      <c r="D1554" s="8">
        <v>0.93</v>
      </c>
      <c r="E1554" s="4">
        <v>1</v>
      </c>
      <c r="F1554" s="8">
        <v>0.52</v>
      </c>
      <c r="G1554" s="4">
        <v>2</v>
      </c>
      <c r="H1554" s="8">
        <v>1.57</v>
      </c>
      <c r="I1554" s="4">
        <v>0</v>
      </c>
    </row>
    <row r="1555" spans="1:9" x14ac:dyDescent="0.2">
      <c r="A1555" s="1"/>
      <c r="C1555" s="4"/>
      <c r="D1555" s="8"/>
      <c r="E1555" s="4"/>
      <c r="F1555" s="8"/>
      <c r="G1555" s="4"/>
      <c r="H1555" s="8"/>
      <c r="I1555" s="4"/>
    </row>
    <row r="1556" spans="1:9" x14ac:dyDescent="0.2">
      <c r="A1556" s="1" t="s">
        <v>67</v>
      </c>
      <c r="C1556" s="4"/>
      <c r="D1556" s="8"/>
      <c r="E1556" s="4"/>
      <c r="F1556" s="8"/>
      <c r="G1556" s="4"/>
      <c r="H1556" s="8"/>
      <c r="I1556" s="4"/>
    </row>
    <row r="1557" spans="1:9" x14ac:dyDescent="0.2">
      <c r="A1557" s="2">
        <v>1</v>
      </c>
      <c r="B1557" s="1" t="s">
        <v>98</v>
      </c>
      <c r="C1557" s="4">
        <v>31</v>
      </c>
      <c r="D1557" s="8">
        <v>31</v>
      </c>
      <c r="E1557" s="4">
        <v>15</v>
      </c>
      <c r="F1557" s="8">
        <v>26.32</v>
      </c>
      <c r="G1557" s="4">
        <v>16</v>
      </c>
      <c r="H1557" s="8">
        <v>41.03</v>
      </c>
      <c r="I1557" s="4">
        <v>0</v>
      </c>
    </row>
    <row r="1558" spans="1:9" x14ac:dyDescent="0.2">
      <c r="A1558" s="2">
        <v>2</v>
      </c>
      <c r="B1558" s="1" t="s">
        <v>113</v>
      </c>
      <c r="C1558" s="4">
        <v>16</v>
      </c>
      <c r="D1558" s="8">
        <v>16</v>
      </c>
      <c r="E1558" s="4">
        <v>13</v>
      </c>
      <c r="F1558" s="8">
        <v>22.81</v>
      </c>
      <c r="G1558" s="4">
        <v>3</v>
      </c>
      <c r="H1558" s="8">
        <v>7.69</v>
      </c>
      <c r="I1558" s="4">
        <v>0</v>
      </c>
    </row>
    <row r="1559" spans="1:9" x14ac:dyDescent="0.2">
      <c r="A1559" s="2">
        <v>3</v>
      </c>
      <c r="B1559" s="1" t="s">
        <v>107</v>
      </c>
      <c r="C1559" s="4">
        <v>13</v>
      </c>
      <c r="D1559" s="8">
        <v>13</v>
      </c>
      <c r="E1559" s="4">
        <v>9</v>
      </c>
      <c r="F1559" s="8">
        <v>15.79</v>
      </c>
      <c r="G1559" s="4">
        <v>4</v>
      </c>
      <c r="H1559" s="8">
        <v>10.26</v>
      </c>
      <c r="I1559" s="4">
        <v>0</v>
      </c>
    </row>
    <row r="1560" spans="1:9" x14ac:dyDescent="0.2">
      <c r="A1560" s="2">
        <v>4</v>
      </c>
      <c r="B1560" s="1" t="s">
        <v>105</v>
      </c>
      <c r="C1560" s="4">
        <v>5</v>
      </c>
      <c r="D1560" s="8">
        <v>5</v>
      </c>
      <c r="E1560" s="4">
        <v>5</v>
      </c>
      <c r="F1560" s="8">
        <v>8.77</v>
      </c>
      <c r="G1560" s="4">
        <v>0</v>
      </c>
      <c r="H1560" s="8">
        <v>0</v>
      </c>
      <c r="I1560" s="4">
        <v>0</v>
      </c>
    </row>
    <row r="1561" spans="1:9" x14ac:dyDescent="0.2">
      <c r="A1561" s="2">
        <v>4</v>
      </c>
      <c r="B1561" s="1" t="s">
        <v>112</v>
      </c>
      <c r="C1561" s="4">
        <v>5</v>
      </c>
      <c r="D1561" s="8">
        <v>5</v>
      </c>
      <c r="E1561" s="4">
        <v>4</v>
      </c>
      <c r="F1561" s="8">
        <v>7.02</v>
      </c>
      <c r="G1561" s="4">
        <v>1</v>
      </c>
      <c r="H1561" s="8">
        <v>2.56</v>
      </c>
      <c r="I1561" s="4">
        <v>0</v>
      </c>
    </row>
    <row r="1562" spans="1:9" x14ac:dyDescent="0.2">
      <c r="A1562" s="2">
        <v>6</v>
      </c>
      <c r="B1562" s="1" t="s">
        <v>99</v>
      </c>
      <c r="C1562" s="4">
        <v>4</v>
      </c>
      <c r="D1562" s="8">
        <v>4</v>
      </c>
      <c r="E1562" s="4">
        <v>1</v>
      </c>
      <c r="F1562" s="8">
        <v>1.75</v>
      </c>
      <c r="G1562" s="4">
        <v>3</v>
      </c>
      <c r="H1562" s="8">
        <v>7.69</v>
      </c>
      <c r="I1562" s="4">
        <v>0</v>
      </c>
    </row>
    <row r="1563" spans="1:9" x14ac:dyDescent="0.2">
      <c r="A1563" s="2">
        <v>6</v>
      </c>
      <c r="B1563" s="1" t="s">
        <v>106</v>
      </c>
      <c r="C1563" s="4">
        <v>4</v>
      </c>
      <c r="D1563" s="8">
        <v>4</v>
      </c>
      <c r="E1563" s="4">
        <v>2</v>
      </c>
      <c r="F1563" s="8">
        <v>3.51</v>
      </c>
      <c r="G1563" s="4">
        <v>2</v>
      </c>
      <c r="H1563" s="8">
        <v>5.13</v>
      </c>
      <c r="I1563" s="4">
        <v>0</v>
      </c>
    </row>
    <row r="1564" spans="1:9" x14ac:dyDescent="0.2">
      <c r="A1564" s="2">
        <v>6</v>
      </c>
      <c r="B1564" s="1" t="s">
        <v>123</v>
      </c>
      <c r="C1564" s="4">
        <v>4</v>
      </c>
      <c r="D1564" s="8">
        <v>4</v>
      </c>
      <c r="E1564" s="4">
        <v>4</v>
      </c>
      <c r="F1564" s="8">
        <v>7.02</v>
      </c>
      <c r="G1564" s="4">
        <v>0</v>
      </c>
      <c r="H1564" s="8">
        <v>0</v>
      </c>
      <c r="I1564" s="4">
        <v>0</v>
      </c>
    </row>
    <row r="1565" spans="1:9" x14ac:dyDescent="0.2">
      <c r="A1565" s="2">
        <v>9</v>
      </c>
      <c r="B1565" s="1" t="s">
        <v>100</v>
      </c>
      <c r="C1565" s="4">
        <v>3</v>
      </c>
      <c r="D1565" s="8">
        <v>3</v>
      </c>
      <c r="E1565" s="4">
        <v>1</v>
      </c>
      <c r="F1565" s="8">
        <v>1.75</v>
      </c>
      <c r="G1565" s="4">
        <v>2</v>
      </c>
      <c r="H1565" s="8">
        <v>5.13</v>
      </c>
      <c r="I1565" s="4">
        <v>0</v>
      </c>
    </row>
    <row r="1566" spans="1:9" x14ac:dyDescent="0.2">
      <c r="A1566" s="2">
        <v>9</v>
      </c>
      <c r="B1566" s="1" t="s">
        <v>116</v>
      </c>
      <c r="C1566" s="4">
        <v>3</v>
      </c>
      <c r="D1566" s="8">
        <v>3</v>
      </c>
      <c r="E1566" s="4">
        <v>0</v>
      </c>
      <c r="F1566" s="8">
        <v>0</v>
      </c>
      <c r="G1566" s="4">
        <v>2</v>
      </c>
      <c r="H1566" s="8">
        <v>5.13</v>
      </c>
      <c r="I1566" s="4">
        <v>0</v>
      </c>
    </row>
    <row r="1567" spans="1:9" x14ac:dyDescent="0.2">
      <c r="A1567" s="2">
        <v>11</v>
      </c>
      <c r="B1567" s="1" t="s">
        <v>148</v>
      </c>
      <c r="C1567" s="4">
        <v>2</v>
      </c>
      <c r="D1567" s="8">
        <v>2</v>
      </c>
      <c r="E1567" s="4">
        <v>0</v>
      </c>
      <c r="F1567" s="8">
        <v>0</v>
      </c>
      <c r="G1567" s="4">
        <v>0</v>
      </c>
      <c r="H1567" s="8">
        <v>0</v>
      </c>
      <c r="I1567" s="4">
        <v>0</v>
      </c>
    </row>
    <row r="1568" spans="1:9" x14ac:dyDescent="0.2">
      <c r="A1568" s="2">
        <v>12</v>
      </c>
      <c r="B1568" s="1" t="s">
        <v>150</v>
      </c>
      <c r="C1568" s="4">
        <v>1</v>
      </c>
      <c r="D1568" s="8">
        <v>1</v>
      </c>
      <c r="E1568" s="4">
        <v>0</v>
      </c>
      <c r="F1568" s="8">
        <v>0</v>
      </c>
      <c r="G1568" s="4">
        <v>1</v>
      </c>
      <c r="H1568" s="8">
        <v>2.56</v>
      </c>
      <c r="I1568" s="4">
        <v>0</v>
      </c>
    </row>
    <row r="1569" spans="1:9" x14ac:dyDescent="0.2">
      <c r="A1569" s="2">
        <v>12</v>
      </c>
      <c r="B1569" s="1" t="s">
        <v>119</v>
      </c>
      <c r="C1569" s="4">
        <v>1</v>
      </c>
      <c r="D1569" s="8">
        <v>1</v>
      </c>
      <c r="E1569" s="4">
        <v>0</v>
      </c>
      <c r="F1569" s="8">
        <v>0</v>
      </c>
      <c r="G1569" s="4">
        <v>1</v>
      </c>
      <c r="H1569" s="8">
        <v>2.56</v>
      </c>
      <c r="I1569" s="4">
        <v>0</v>
      </c>
    </row>
    <row r="1570" spans="1:9" x14ac:dyDescent="0.2">
      <c r="A1570" s="2">
        <v>12</v>
      </c>
      <c r="B1570" s="1" t="s">
        <v>132</v>
      </c>
      <c r="C1570" s="4">
        <v>1</v>
      </c>
      <c r="D1570" s="8">
        <v>1</v>
      </c>
      <c r="E1570" s="4">
        <v>1</v>
      </c>
      <c r="F1570" s="8">
        <v>1.75</v>
      </c>
      <c r="G1570" s="4">
        <v>0</v>
      </c>
      <c r="H1570" s="8">
        <v>0</v>
      </c>
      <c r="I1570" s="4">
        <v>0</v>
      </c>
    </row>
    <row r="1571" spans="1:9" x14ac:dyDescent="0.2">
      <c r="A1571" s="2">
        <v>12</v>
      </c>
      <c r="B1571" s="1" t="s">
        <v>126</v>
      </c>
      <c r="C1571" s="4">
        <v>1</v>
      </c>
      <c r="D1571" s="8">
        <v>1</v>
      </c>
      <c r="E1571" s="4">
        <v>0</v>
      </c>
      <c r="F1571" s="8">
        <v>0</v>
      </c>
      <c r="G1571" s="4">
        <v>1</v>
      </c>
      <c r="H1571" s="8">
        <v>2.56</v>
      </c>
      <c r="I1571" s="4">
        <v>0</v>
      </c>
    </row>
    <row r="1572" spans="1:9" x14ac:dyDescent="0.2">
      <c r="A1572" s="2">
        <v>12</v>
      </c>
      <c r="B1572" s="1" t="s">
        <v>108</v>
      </c>
      <c r="C1572" s="4">
        <v>1</v>
      </c>
      <c r="D1572" s="8">
        <v>1</v>
      </c>
      <c r="E1572" s="4">
        <v>0</v>
      </c>
      <c r="F1572" s="8">
        <v>0</v>
      </c>
      <c r="G1572" s="4">
        <v>1</v>
      </c>
      <c r="H1572" s="8">
        <v>2.56</v>
      </c>
      <c r="I1572" s="4">
        <v>0</v>
      </c>
    </row>
    <row r="1573" spans="1:9" x14ac:dyDescent="0.2">
      <c r="A1573" s="2">
        <v>12</v>
      </c>
      <c r="B1573" s="1" t="s">
        <v>140</v>
      </c>
      <c r="C1573" s="4">
        <v>1</v>
      </c>
      <c r="D1573" s="8">
        <v>1</v>
      </c>
      <c r="E1573" s="4">
        <v>0</v>
      </c>
      <c r="F1573" s="8">
        <v>0</v>
      </c>
      <c r="G1573" s="4">
        <v>1</v>
      </c>
      <c r="H1573" s="8">
        <v>2.56</v>
      </c>
      <c r="I1573" s="4">
        <v>0</v>
      </c>
    </row>
    <row r="1574" spans="1:9" x14ac:dyDescent="0.2">
      <c r="A1574" s="2">
        <v>12</v>
      </c>
      <c r="B1574" s="1" t="s">
        <v>110</v>
      </c>
      <c r="C1574" s="4">
        <v>1</v>
      </c>
      <c r="D1574" s="8">
        <v>1</v>
      </c>
      <c r="E1574" s="4">
        <v>0</v>
      </c>
      <c r="F1574" s="8">
        <v>0</v>
      </c>
      <c r="G1574" s="4">
        <v>1</v>
      </c>
      <c r="H1574" s="8">
        <v>2.56</v>
      </c>
      <c r="I1574" s="4">
        <v>0</v>
      </c>
    </row>
    <row r="1575" spans="1:9" x14ac:dyDescent="0.2">
      <c r="A1575" s="2">
        <v>12</v>
      </c>
      <c r="B1575" s="1" t="s">
        <v>121</v>
      </c>
      <c r="C1575" s="4">
        <v>1</v>
      </c>
      <c r="D1575" s="8">
        <v>1</v>
      </c>
      <c r="E1575" s="4">
        <v>1</v>
      </c>
      <c r="F1575" s="8">
        <v>1.75</v>
      </c>
      <c r="G1575" s="4">
        <v>0</v>
      </c>
      <c r="H1575" s="8">
        <v>0</v>
      </c>
      <c r="I1575" s="4">
        <v>0</v>
      </c>
    </row>
    <row r="1576" spans="1:9" x14ac:dyDescent="0.2">
      <c r="A1576" s="2">
        <v>12</v>
      </c>
      <c r="B1576" s="1" t="s">
        <v>114</v>
      </c>
      <c r="C1576" s="4">
        <v>1</v>
      </c>
      <c r="D1576" s="8">
        <v>1</v>
      </c>
      <c r="E1576" s="4">
        <v>0</v>
      </c>
      <c r="F1576" s="8">
        <v>0</v>
      </c>
      <c r="G1576" s="4">
        <v>0</v>
      </c>
      <c r="H1576" s="8">
        <v>0</v>
      </c>
      <c r="I1576" s="4">
        <v>0</v>
      </c>
    </row>
    <row r="1577" spans="1:9" x14ac:dyDescent="0.2">
      <c r="A1577" s="2">
        <v>12</v>
      </c>
      <c r="B1577" s="1" t="s">
        <v>115</v>
      </c>
      <c r="C1577" s="4">
        <v>1</v>
      </c>
      <c r="D1577" s="8">
        <v>1</v>
      </c>
      <c r="E1577" s="4">
        <v>1</v>
      </c>
      <c r="F1577" s="8">
        <v>1.75</v>
      </c>
      <c r="G1577" s="4">
        <v>0</v>
      </c>
      <c r="H1577" s="8">
        <v>0</v>
      </c>
      <c r="I1577" s="4">
        <v>0</v>
      </c>
    </row>
    <row r="1578" spans="1:9" x14ac:dyDescent="0.2">
      <c r="A1578" s="1"/>
      <c r="C1578" s="4"/>
      <c r="D1578" s="8"/>
      <c r="E1578" s="4"/>
      <c r="F1578" s="8"/>
      <c r="G1578" s="4"/>
      <c r="H1578" s="8"/>
      <c r="I1578" s="4"/>
    </row>
    <row r="1579" spans="1:9" x14ac:dyDescent="0.2">
      <c r="A1579" s="1" t="s">
        <v>68</v>
      </c>
      <c r="C1579" s="4"/>
      <c r="D1579" s="8"/>
      <c r="E1579" s="4"/>
      <c r="F1579" s="8"/>
      <c r="G1579" s="4"/>
      <c r="H1579" s="8"/>
      <c r="I1579" s="4"/>
    </row>
    <row r="1580" spans="1:9" x14ac:dyDescent="0.2">
      <c r="A1580" s="2">
        <v>1</v>
      </c>
      <c r="B1580" s="1" t="s">
        <v>98</v>
      </c>
      <c r="C1580" s="4">
        <v>16</v>
      </c>
      <c r="D1580" s="8">
        <v>21.62</v>
      </c>
      <c r="E1580" s="4">
        <v>10</v>
      </c>
      <c r="F1580" s="8">
        <v>19.23</v>
      </c>
      <c r="G1580" s="4">
        <v>6</v>
      </c>
      <c r="H1580" s="8">
        <v>30</v>
      </c>
      <c r="I1580" s="4">
        <v>0</v>
      </c>
    </row>
    <row r="1581" spans="1:9" x14ac:dyDescent="0.2">
      <c r="A1581" s="2">
        <v>2</v>
      </c>
      <c r="B1581" s="1" t="s">
        <v>105</v>
      </c>
      <c r="C1581" s="4">
        <v>11</v>
      </c>
      <c r="D1581" s="8">
        <v>14.86</v>
      </c>
      <c r="E1581" s="4">
        <v>10</v>
      </c>
      <c r="F1581" s="8">
        <v>19.23</v>
      </c>
      <c r="G1581" s="4">
        <v>1</v>
      </c>
      <c r="H1581" s="8">
        <v>5</v>
      </c>
      <c r="I1581" s="4">
        <v>0</v>
      </c>
    </row>
    <row r="1582" spans="1:9" x14ac:dyDescent="0.2">
      <c r="A1582" s="2">
        <v>3</v>
      </c>
      <c r="B1582" s="1" t="s">
        <v>112</v>
      </c>
      <c r="C1582" s="4">
        <v>7</v>
      </c>
      <c r="D1582" s="8">
        <v>9.4600000000000009</v>
      </c>
      <c r="E1582" s="4">
        <v>6</v>
      </c>
      <c r="F1582" s="8">
        <v>11.54</v>
      </c>
      <c r="G1582" s="4">
        <v>1</v>
      </c>
      <c r="H1582" s="8">
        <v>5</v>
      </c>
      <c r="I1582" s="4">
        <v>0</v>
      </c>
    </row>
    <row r="1583" spans="1:9" x14ac:dyDescent="0.2">
      <c r="A1583" s="2">
        <v>4</v>
      </c>
      <c r="B1583" s="1" t="s">
        <v>116</v>
      </c>
      <c r="C1583" s="4">
        <v>6</v>
      </c>
      <c r="D1583" s="8">
        <v>8.11</v>
      </c>
      <c r="E1583" s="4">
        <v>0</v>
      </c>
      <c r="F1583" s="8">
        <v>0</v>
      </c>
      <c r="G1583" s="4">
        <v>5</v>
      </c>
      <c r="H1583" s="8">
        <v>25</v>
      </c>
      <c r="I1583" s="4">
        <v>0</v>
      </c>
    </row>
    <row r="1584" spans="1:9" x14ac:dyDescent="0.2">
      <c r="A1584" s="2">
        <v>5</v>
      </c>
      <c r="B1584" s="1" t="s">
        <v>100</v>
      </c>
      <c r="C1584" s="4">
        <v>5</v>
      </c>
      <c r="D1584" s="8">
        <v>6.76</v>
      </c>
      <c r="E1584" s="4">
        <v>5</v>
      </c>
      <c r="F1584" s="8">
        <v>9.6199999999999992</v>
      </c>
      <c r="G1584" s="4">
        <v>0</v>
      </c>
      <c r="H1584" s="8">
        <v>0</v>
      </c>
      <c r="I1584" s="4">
        <v>0</v>
      </c>
    </row>
    <row r="1585" spans="1:9" x14ac:dyDescent="0.2">
      <c r="A1585" s="2">
        <v>5</v>
      </c>
      <c r="B1585" s="1" t="s">
        <v>107</v>
      </c>
      <c r="C1585" s="4">
        <v>5</v>
      </c>
      <c r="D1585" s="8">
        <v>6.76</v>
      </c>
      <c r="E1585" s="4">
        <v>3</v>
      </c>
      <c r="F1585" s="8">
        <v>5.77</v>
      </c>
      <c r="G1585" s="4">
        <v>2</v>
      </c>
      <c r="H1585" s="8">
        <v>10</v>
      </c>
      <c r="I1585" s="4">
        <v>0</v>
      </c>
    </row>
    <row r="1586" spans="1:9" x14ac:dyDescent="0.2">
      <c r="A1586" s="2">
        <v>7</v>
      </c>
      <c r="B1586" s="1" t="s">
        <v>106</v>
      </c>
      <c r="C1586" s="4">
        <v>3</v>
      </c>
      <c r="D1586" s="8">
        <v>4.05</v>
      </c>
      <c r="E1586" s="4">
        <v>3</v>
      </c>
      <c r="F1586" s="8">
        <v>5.77</v>
      </c>
      <c r="G1586" s="4">
        <v>0</v>
      </c>
      <c r="H1586" s="8">
        <v>0</v>
      </c>
      <c r="I1586" s="4">
        <v>0</v>
      </c>
    </row>
    <row r="1587" spans="1:9" x14ac:dyDescent="0.2">
      <c r="A1587" s="2">
        <v>7</v>
      </c>
      <c r="B1587" s="1" t="s">
        <v>113</v>
      </c>
      <c r="C1587" s="4">
        <v>3</v>
      </c>
      <c r="D1587" s="8">
        <v>4.05</v>
      </c>
      <c r="E1587" s="4">
        <v>3</v>
      </c>
      <c r="F1587" s="8">
        <v>5.77</v>
      </c>
      <c r="G1587" s="4">
        <v>0</v>
      </c>
      <c r="H1587" s="8">
        <v>0</v>
      </c>
      <c r="I1587" s="4">
        <v>0</v>
      </c>
    </row>
    <row r="1588" spans="1:9" x14ac:dyDescent="0.2">
      <c r="A1588" s="2">
        <v>9</v>
      </c>
      <c r="B1588" s="1" t="s">
        <v>119</v>
      </c>
      <c r="C1588" s="4">
        <v>2</v>
      </c>
      <c r="D1588" s="8">
        <v>2.7</v>
      </c>
      <c r="E1588" s="4">
        <v>2</v>
      </c>
      <c r="F1588" s="8">
        <v>3.85</v>
      </c>
      <c r="G1588" s="4">
        <v>0</v>
      </c>
      <c r="H1588" s="8">
        <v>0</v>
      </c>
      <c r="I1588" s="4">
        <v>0</v>
      </c>
    </row>
    <row r="1589" spans="1:9" x14ac:dyDescent="0.2">
      <c r="A1589" s="2">
        <v>9</v>
      </c>
      <c r="B1589" s="1" t="s">
        <v>124</v>
      </c>
      <c r="C1589" s="4">
        <v>2</v>
      </c>
      <c r="D1589" s="8">
        <v>2.7</v>
      </c>
      <c r="E1589" s="4">
        <v>0</v>
      </c>
      <c r="F1589" s="8">
        <v>0</v>
      </c>
      <c r="G1589" s="4">
        <v>2</v>
      </c>
      <c r="H1589" s="8">
        <v>10</v>
      </c>
      <c r="I1589" s="4">
        <v>0</v>
      </c>
    </row>
    <row r="1590" spans="1:9" x14ac:dyDescent="0.2">
      <c r="A1590" s="2">
        <v>11</v>
      </c>
      <c r="B1590" s="1" t="s">
        <v>99</v>
      </c>
      <c r="C1590" s="4">
        <v>1</v>
      </c>
      <c r="D1590" s="8">
        <v>1.35</v>
      </c>
      <c r="E1590" s="4">
        <v>1</v>
      </c>
      <c r="F1590" s="8">
        <v>1.92</v>
      </c>
      <c r="G1590" s="4">
        <v>0</v>
      </c>
      <c r="H1590" s="8">
        <v>0</v>
      </c>
      <c r="I1590" s="4">
        <v>0</v>
      </c>
    </row>
    <row r="1591" spans="1:9" x14ac:dyDescent="0.2">
      <c r="A1591" s="2">
        <v>11</v>
      </c>
      <c r="B1591" s="1" t="s">
        <v>130</v>
      </c>
      <c r="C1591" s="4">
        <v>1</v>
      </c>
      <c r="D1591" s="8">
        <v>1.35</v>
      </c>
      <c r="E1591" s="4">
        <v>1</v>
      </c>
      <c r="F1591" s="8">
        <v>1.92</v>
      </c>
      <c r="G1591" s="4">
        <v>0</v>
      </c>
      <c r="H1591" s="8">
        <v>0</v>
      </c>
      <c r="I1591" s="4">
        <v>0</v>
      </c>
    </row>
    <row r="1592" spans="1:9" x14ac:dyDescent="0.2">
      <c r="A1592" s="2">
        <v>11</v>
      </c>
      <c r="B1592" s="1" t="s">
        <v>135</v>
      </c>
      <c r="C1592" s="4">
        <v>1</v>
      </c>
      <c r="D1592" s="8">
        <v>1.35</v>
      </c>
      <c r="E1592" s="4">
        <v>0</v>
      </c>
      <c r="F1592" s="8">
        <v>0</v>
      </c>
      <c r="G1592" s="4">
        <v>1</v>
      </c>
      <c r="H1592" s="8">
        <v>5</v>
      </c>
      <c r="I1592" s="4">
        <v>0</v>
      </c>
    </row>
    <row r="1593" spans="1:9" x14ac:dyDescent="0.2">
      <c r="A1593" s="2">
        <v>11</v>
      </c>
      <c r="B1593" s="1" t="s">
        <v>142</v>
      </c>
      <c r="C1593" s="4">
        <v>1</v>
      </c>
      <c r="D1593" s="8">
        <v>1.35</v>
      </c>
      <c r="E1593" s="4">
        <v>0</v>
      </c>
      <c r="F1593" s="8">
        <v>0</v>
      </c>
      <c r="G1593" s="4">
        <v>1</v>
      </c>
      <c r="H1593" s="8">
        <v>5</v>
      </c>
      <c r="I1593" s="4">
        <v>0</v>
      </c>
    </row>
    <row r="1594" spans="1:9" x14ac:dyDescent="0.2">
      <c r="A1594" s="2">
        <v>11</v>
      </c>
      <c r="B1594" s="1" t="s">
        <v>136</v>
      </c>
      <c r="C1594" s="4">
        <v>1</v>
      </c>
      <c r="D1594" s="8">
        <v>1.35</v>
      </c>
      <c r="E1594" s="4">
        <v>0</v>
      </c>
      <c r="F1594" s="8">
        <v>0</v>
      </c>
      <c r="G1594" s="4">
        <v>1</v>
      </c>
      <c r="H1594" s="8">
        <v>5</v>
      </c>
      <c r="I1594" s="4">
        <v>0</v>
      </c>
    </row>
    <row r="1595" spans="1:9" x14ac:dyDescent="0.2">
      <c r="A1595" s="2">
        <v>11</v>
      </c>
      <c r="B1595" s="1" t="s">
        <v>148</v>
      </c>
      <c r="C1595" s="4">
        <v>1</v>
      </c>
      <c r="D1595" s="8">
        <v>1.35</v>
      </c>
      <c r="E1595" s="4">
        <v>0</v>
      </c>
      <c r="F1595" s="8">
        <v>0</v>
      </c>
      <c r="G1595" s="4">
        <v>0</v>
      </c>
      <c r="H1595" s="8">
        <v>0</v>
      </c>
      <c r="I1595" s="4">
        <v>0</v>
      </c>
    </row>
    <row r="1596" spans="1:9" x14ac:dyDescent="0.2">
      <c r="A1596" s="2">
        <v>11</v>
      </c>
      <c r="B1596" s="1" t="s">
        <v>111</v>
      </c>
      <c r="C1596" s="4">
        <v>1</v>
      </c>
      <c r="D1596" s="8">
        <v>1.35</v>
      </c>
      <c r="E1596" s="4">
        <v>1</v>
      </c>
      <c r="F1596" s="8">
        <v>1.92</v>
      </c>
      <c r="G1596" s="4">
        <v>0</v>
      </c>
      <c r="H1596" s="8">
        <v>0</v>
      </c>
      <c r="I1596" s="4">
        <v>0</v>
      </c>
    </row>
    <row r="1597" spans="1:9" x14ac:dyDescent="0.2">
      <c r="A1597" s="2">
        <v>11</v>
      </c>
      <c r="B1597" s="1" t="s">
        <v>151</v>
      </c>
      <c r="C1597" s="4">
        <v>1</v>
      </c>
      <c r="D1597" s="8">
        <v>1.35</v>
      </c>
      <c r="E1597" s="4">
        <v>1</v>
      </c>
      <c r="F1597" s="8">
        <v>1.92</v>
      </c>
      <c r="G1597" s="4">
        <v>0</v>
      </c>
      <c r="H1597" s="8">
        <v>0</v>
      </c>
      <c r="I1597" s="4">
        <v>0</v>
      </c>
    </row>
    <row r="1598" spans="1:9" x14ac:dyDescent="0.2">
      <c r="A1598" s="2">
        <v>11</v>
      </c>
      <c r="B1598" s="1" t="s">
        <v>121</v>
      </c>
      <c r="C1598" s="4">
        <v>1</v>
      </c>
      <c r="D1598" s="8">
        <v>1.35</v>
      </c>
      <c r="E1598" s="4">
        <v>1</v>
      </c>
      <c r="F1598" s="8">
        <v>1.92</v>
      </c>
      <c r="G1598" s="4">
        <v>0</v>
      </c>
      <c r="H1598" s="8">
        <v>0</v>
      </c>
      <c r="I1598" s="4">
        <v>0</v>
      </c>
    </row>
    <row r="1599" spans="1:9" x14ac:dyDescent="0.2">
      <c r="A1599" s="2">
        <v>11</v>
      </c>
      <c r="B1599" s="1" t="s">
        <v>118</v>
      </c>
      <c r="C1599" s="4">
        <v>1</v>
      </c>
      <c r="D1599" s="8">
        <v>1.35</v>
      </c>
      <c r="E1599" s="4">
        <v>1</v>
      </c>
      <c r="F1599" s="8">
        <v>1.92</v>
      </c>
      <c r="G1599" s="4">
        <v>0</v>
      </c>
      <c r="H1599" s="8">
        <v>0</v>
      </c>
      <c r="I1599" s="4">
        <v>0</v>
      </c>
    </row>
    <row r="1600" spans="1:9" x14ac:dyDescent="0.2">
      <c r="A1600" s="2">
        <v>11</v>
      </c>
      <c r="B1600" s="1" t="s">
        <v>127</v>
      </c>
      <c r="C1600" s="4">
        <v>1</v>
      </c>
      <c r="D1600" s="8">
        <v>1.35</v>
      </c>
      <c r="E1600" s="4">
        <v>1</v>
      </c>
      <c r="F1600" s="8">
        <v>1.92</v>
      </c>
      <c r="G1600" s="4">
        <v>0</v>
      </c>
      <c r="H1600" s="8">
        <v>0</v>
      </c>
      <c r="I1600" s="4">
        <v>0</v>
      </c>
    </row>
    <row r="1601" spans="1:9" x14ac:dyDescent="0.2">
      <c r="A1601" s="2">
        <v>11</v>
      </c>
      <c r="B1601" s="1" t="s">
        <v>114</v>
      </c>
      <c r="C1601" s="4">
        <v>1</v>
      </c>
      <c r="D1601" s="8">
        <v>1.35</v>
      </c>
      <c r="E1601" s="4">
        <v>1</v>
      </c>
      <c r="F1601" s="8">
        <v>1.92</v>
      </c>
      <c r="G1601" s="4">
        <v>0</v>
      </c>
      <c r="H1601" s="8">
        <v>0</v>
      </c>
      <c r="I1601" s="4">
        <v>0</v>
      </c>
    </row>
    <row r="1602" spans="1:9" x14ac:dyDescent="0.2">
      <c r="A1602" s="2">
        <v>11</v>
      </c>
      <c r="B1602" s="1" t="s">
        <v>115</v>
      </c>
      <c r="C1602" s="4">
        <v>1</v>
      </c>
      <c r="D1602" s="8">
        <v>1.35</v>
      </c>
      <c r="E1602" s="4">
        <v>1</v>
      </c>
      <c r="F1602" s="8">
        <v>1.92</v>
      </c>
      <c r="G1602" s="4">
        <v>0</v>
      </c>
      <c r="H1602" s="8">
        <v>0</v>
      </c>
      <c r="I1602" s="4">
        <v>0</v>
      </c>
    </row>
    <row r="1603" spans="1:9" x14ac:dyDescent="0.2">
      <c r="A1603" s="2">
        <v>11</v>
      </c>
      <c r="B1603" s="1" t="s">
        <v>147</v>
      </c>
      <c r="C1603" s="4">
        <v>1</v>
      </c>
      <c r="D1603" s="8">
        <v>1.35</v>
      </c>
      <c r="E1603" s="4">
        <v>1</v>
      </c>
      <c r="F1603" s="8">
        <v>1.92</v>
      </c>
      <c r="G1603" s="4">
        <v>0</v>
      </c>
      <c r="H1603" s="8">
        <v>0</v>
      </c>
      <c r="I1603" s="4">
        <v>0</v>
      </c>
    </row>
    <row r="1604" spans="1:9" x14ac:dyDescent="0.2">
      <c r="A1604" s="1"/>
      <c r="C1604" s="4"/>
      <c r="D1604" s="8"/>
      <c r="E1604" s="4"/>
      <c r="F1604" s="8"/>
      <c r="G1604" s="4"/>
      <c r="H1604" s="8"/>
      <c r="I1604" s="4"/>
    </row>
    <row r="1605" spans="1:9" x14ac:dyDescent="0.2">
      <c r="A1605" s="1" t="s">
        <v>69</v>
      </c>
      <c r="C1605" s="4"/>
      <c r="D1605" s="8"/>
      <c r="E1605" s="4"/>
      <c r="F1605" s="8"/>
      <c r="G1605" s="4"/>
      <c r="H1605" s="8"/>
      <c r="I1605" s="4"/>
    </row>
    <row r="1606" spans="1:9" x14ac:dyDescent="0.2">
      <c r="A1606" s="2">
        <v>1</v>
      </c>
      <c r="B1606" s="1" t="s">
        <v>98</v>
      </c>
      <c r="C1606" s="4">
        <v>65</v>
      </c>
      <c r="D1606" s="8">
        <v>16.329999999999998</v>
      </c>
      <c r="E1606" s="4">
        <v>23</v>
      </c>
      <c r="F1606" s="8">
        <v>9.39</v>
      </c>
      <c r="G1606" s="4">
        <v>42</v>
      </c>
      <c r="H1606" s="8">
        <v>29.37</v>
      </c>
      <c r="I1606" s="4">
        <v>0</v>
      </c>
    </row>
    <row r="1607" spans="1:9" x14ac:dyDescent="0.2">
      <c r="A1607" s="2">
        <v>2</v>
      </c>
      <c r="B1607" s="1" t="s">
        <v>107</v>
      </c>
      <c r="C1607" s="4">
        <v>43</v>
      </c>
      <c r="D1607" s="8">
        <v>10.8</v>
      </c>
      <c r="E1607" s="4">
        <v>34</v>
      </c>
      <c r="F1607" s="8">
        <v>13.88</v>
      </c>
      <c r="G1607" s="4">
        <v>9</v>
      </c>
      <c r="H1607" s="8">
        <v>6.29</v>
      </c>
      <c r="I1607" s="4">
        <v>0</v>
      </c>
    </row>
    <row r="1608" spans="1:9" x14ac:dyDescent="0.2">
      <c r="A1608" s="2">
        <v>3</v>
      </c>
      <c r="B1608" s="1" t="s">
        <v>113</v>
      </c>
      <c r="C1608" s="4">
        <v>37</v>
      </c>
      <c r="D1608" s="8">
        <v>9.3000000000000007</v>
      </c>
      <c r="E1608" s="4">
        <v>34</v>
      </c>
      <c r="F1608" s="8">
        <v>13.88</v>
      </c>
      <c r="G1608" s="4">
        <v>3</v>
      </c>
      <c r="H1608" s="8">
        <v>2.1</v>
      </c>
      <c r="I1608" s="4">
        <v>0</v>
      </c>
    </row>
    <row r="1609" spans="1:9" x14ac:dyDescent="0.2">
      <c r="A1609" s="2">
        <v>4</v>
      </c>
      <c r="B1609" s="1" t="s">
        <v>105</v>
      </c>
      <c r="C1609" s="4">
        <v>30</v>
      </c>
      <c r="D1609" s="8">
        <v>7.54</v>
      </c>
      <c r="E1609" s="4">
        <v>26</v>
      </c>
      <c r="F1609" s="8">
        <v>10.61</v>
      </c>
      <c r="G1609" s="4">
        <v>4</v>
      </c>
      <c r="H1609" s="8">
        <v>2.8</v>
      </c>
      <c r="I1609" s="4">
        <v>0</v>
      </c>
    </row>
    <row r="1610" spans="1:9" x14ac:dyDescent="0.2">
      <c r="A1610" s="2">
        <v>5</v>
      </c>
      <c r="B1610" s="1" t="s">
        <v>112</v>
      </c>
      <c r="C1610" s="4">
        <v>21</v>
      </c>
      <c r="D1610" s="8">
        <v>5.28</v>
      </c>
      <c r="E1610" s="4">
        <v>19</v>
      </c>
      <c r="F1610" s="8">
        <v>7.76</v>
      </c>
      <c r="G1610" s="4">
        <v>2</v>
      </c>
      <c r="H1610" s="8">
        <v>1.4</v>
      </c>
      <c r="I1610" s="4">
        <v>0</v>
      </c>
    </row>
    <row r="1611" spans="1:9" x14ac:dyDescent="0.2">
      <c r="A1611" s="2">
        <v>6</v>
      </c>
      <c r="B1611" s="1" t="s">
        <v>100</v>
      </c>
      <c r="C1611" s="4">
        <v>19</v>
      </c>
      <c r="D1611" s="8">
        <v>4.7699999999999996</v>
      </c>
      <c r="E1611" s="4">
        <v>10</v>
      </c>
      <c r="F1611" s="8">
        <v>4.08</v>
      </c>
      <c r="G1611" s="4">
        <v>9</v>
      </c>
      <c r="H1611" s="8">
        <v>6.29</v>
      </c>
      <c r="I1611" s="4">
        <v>0</v>
      </c>
    </row>
    <row r="1612" spans="1:9" x14ac:dyDescent="0.2">
      <c r="A1612" s="2">
        <v>7</v>
      </c>
      <c r="B1612" s="1" t="s">
        <v>99</v>
      </c>
      <c r="C1612" s="4">
        <v>14</v>
      </c>
      <c r="D1612" s="8">
        <v>3.52</v>
      </c>
      <c r="E1612" s="4">
        <v>10</v>
      </c>
      <c r="F1612" s="8">
        <v>4.08</v>
      </c>
      <c r="G1612" s="4">
        <v>4</v>
      </c>
      <c r="H1612" s="8">
        <v>2.8</v>
      </c>
      <c r="I1612" s="4">
        <v>0</v>
      </c>
    </row>
    <row r="1613" spans="1:9" x14ac:dyDescent="0.2">
      <c r="A1613" s="2">
        <v>7</v>
      </c>
      <c r="B1613" s="1" t="s">
        <v>123</v>
      </c>
      <c r="C1613" s="4">
        <v>14</v>
      </c>
      <c r="D1613" s="8">
        <v>3.52</v>
      </c>
      <c r="E1613" s="4">
        <v>14</v>
      </c>
      <c r="F1613" s="8">
        <v>5.71</v>
      </c>
      <c r="G1613" s="4">
        <v>0</v>
      </c>
      <c r="H1613" s="8">
        <v>0</v>
      </c>
      <c r="I1613" s="4">
        <v>0</v>
      </c>
    </row>
    <row r="1614" spans="1:9" x14ac:dyDescent="0.2">
      <c r="A1614" s="2">
        <v>9</v>
      </c>
      <c r="B1614" s="1" t="s">
        <v>106</v>
      </c>
      <c r="C1614" s="4">
        <v>13</v>
      </c>
      <c r="D1614" s="8">
        <v>3.27</v>
      </c>
      <c r="E1614" s="4">
        <v>13</v>
      </c>
      <c r="F1614" s="8">
        <v>5.31</v>
      </c>
      <c r="G1614" s="4">
        <v>0</v>
      </c>
      <c r="H1614" s="8">
        <v>0</v>
      </c>
      <c r="I1614" s="4">
        <v>0</v>
      </c>
    </row>
    <row r="1615" spans="1:9" x14ac:dyDescent="0.2">
      <c r="A1615" s="2">
        <v>10</v>
      </c>
      <c r="B1615" s="1" t="s">
        <v>116</v>
      </c>
      <c r="C1615" s="4">
        <v>12</v>
      </c>
      <c r="D1615" s="8">
        <v>3.02</v>
      </c>
      <c r="E1615" s="4">
        <v>0</v>
      </c>
      <c r="F1615" s="8">
        <v>0</v>
      </c>
      <c r="G1615" s="4">
        <v>8</v>
      </c>
      <c r="H1615" s="8">
        <v>5.59</v>
      </c>
      <c r="I1615" s="4">
        <v>1</v>
      </c>
    </row>
    <row r="1616" spans="1:9" x14ac:dyDescent="0.2">
      <c r="A1616" s="2">
        <v>11</v>
      </c>
      <c r="B1616" s="1" t="s">
        <v>109</v>
      </c>
      <c r="C1616" s="4">
        <v>11</v>
      </c>
      <c r="D1616" s="8">
        <v>2.76</v>
      </c>
      <c r="E1616" s="4">
        <v>1</v>
      </c>
      <c r="F1616" s="8">
        <v>0.41</v>
      </c>
      <c r="G1616" s="4">
        <v>10</v>
      </c>
      <c r="H1616" s="8">
        <v>6.99</v>
      </c>
      <c r="I1616" s="4">
        <v>0</v>
      </c>
    </row>
    <row r="1617" spans="1:9" x14ac:dyDescent="0.2">
      <c r="A1617" s="2">
        <v>12</v>
      </c>
      <c r="B1617" s="1" t="s">
        <v>115</v>
      </c>
      <c r="C1617" s="4">
        <v>8</v>
      </c>
      <c r="D1617" s="8">
        <v>2.0099999999999998</v>
      </c>
      <c r="E1617" s="4">
        <v>6</v>
      </c>
      <c r="F1617" s="8">
        <v>2.4500000000000002</v>
      </c>
      <c r="G1617" s="4">
        <v>2</v>
      </c>
      <c r="H1617" s="8">
        <v>1.4</v>
      </c>
      <c r="I1617" s="4">
        <v>0</v>
      </c>
    </row>
    <row r="1618" spans="1:9" x14ac:dyDescent="0.2">
      <c r="A1618" s="2">
        <v>13</v>
      </c>
      <c r="B1618" s="1" t="s">
        <v>119</v>
      </c>
      <c r="C1618" s="4">
        <v>7</v>
      </c>
      <c r="D1618" s="8">
        <v>1.76</v>
      </c>
      <c r="E1618" s="4">
        <v>1</v>
      </c>
      <c r="F1618" s="8">
        <v>0.41</v>
      </c>
      <c r="G1618" s="4">
        <v>6</v>
      </c>
      <c r="H1618" s="8">
        <v>4.2</v>
      </c>
      <c r="I1618" s="4">
        <v>0</v>
      </c>
    </row>
    <row r="1619" spans="1:9" x14ac:dyDescent="0.2">
      <c r="A1619" s="2">
        <v>13</v>
      </c>
      <c r="B1619" s="1" t="s">
        <v>104</v>
      </c>
      <c r="C1619" s="4">
        <v>7</v>
      </c>
      <c r="D1619" s="8">
        <v>1.76</v>
      </c>
      <c r="E1619" s="4">
        <v>6</v>
      </c>
      <c r="F1619" s="8">
        <v>2.4500000000000002</v>
      </c>
      <c r="G1619" s="4">
        <v>1</v>
      </c>
      <c r="H1619" s="8">
        <v>0.7</v>
      </c>
      <c r="I1619" s="4">
        <v>0</v>
      </c>
    </row>
    <row r="1620" spans="1:9" x14ac:dyDescent="0.2">
      <c r="A1620" s="2">
        <v>13</v>
      </c>
      <c r="B1620" s="1" t="s">
        <v>126</v>
      </c>
      <c r="C1620" s="4">
        <v>7</v>
      </c>
      <c r="D1620" s="8">
        <v>1.76</v>
      </c>
      <c r="E1620" s="4">
        <v>7</v>
      </c>
      <c r="F1620" s="8">
        <v>2.86</v>
      </c>
      <c r="G1620" s="4">
        <v>0</v>
      </c>
      <c r="H1620" s="8">
        <v>0</v>
      </c>
      <c r="I1620" s="4">
        <v>0</v>
      </c>
    </row>
    <row r="1621" spans="1:9" x14ac:dyDescent="0.2">
      <c r="A1621" s="2">
        <v>13</v>
      </c>
      <c r="B1621" s="1" t="s">
        <v>118</v>
      </c>
      <c r="C1621" s="4">
        <v>7</v>
      </c>
      <c r="D1621" s="8">
        <v>1.76</v>
      </c>
      <c r="E1621" s="4">
        <v>6</v>
      </c>
      <c r="F1621" s="8">
        <v>2.4500000000000002</v>
      </c>
      <c r="G1621" s="4">
        <v>1</v>
      </c>
      <c r="H1621" s="8">
        <v>0.7</v>
      </c>
      <c r="I1621" s="4">
        <v>0</v>
      </c>
    </row>
    <row r="1622" spans="1:9" x14ac:dyDescent="0.2">
      <c r="A1622" s="2">
        <v>13</v>
      </c>
      <c r="B1622" s="1" t="s">
        <v>114</v>
      </c>
      <c r="C1622" s="4">
        <v>7</v>
      </c>
      <c r="D1622" s="8">
        <v>1.76</v>
      </c>
      <c r="E1622" s="4">
        <v>2</v>
      </c>
      <c r="F1622" s="8">
        <v>0.82</v>
      </c>
      <c r="G1622" s="4">
        <v>1</v>
      </c>
      <c r="H1622" s="8">
        <v>0.7</v>
      </c>
      <c r="I1622" s="4">
        <v>0</v>
      </c>
    </row>
    <row r="1623" spans="1:9" x14ac:dyDescent="0.2">
      <c r="A1623" s="2">
        <v>18</v>
      </c>
      <c r="B1623" s="1" t="s">
        <v>111</v>
      </c>
      <c r="C1623" s="4">
        <v>5</v>
      </c>
      <c r="D1623" s="8">
        <v>1.26</v>
      </c>
      <c r="E1623" s="4">
        <v>3</v>
      </c>
      <c r="F1623" s="8">
        <v>1.22</v>
      </c>
      <c r="G1623" s="4">
        <v>2</v>
      </c>
      <c r="H1623" s="8">
        <v>1.4</v>
      </c>
      <c r="I1623" s="4">
        <v>0</v>
      </c>
    </row>
    <row r="1624" spans="1:9" x14ac:dyDescent="0.2">
      <c r="A1624" s="2">
        <v>19</v>
      </c>
      <c r="B1624" s="1" t="s">
        <v>129</v>
      </c>
      <c r="C1624" s="4">
        <v>4</v>
      </c>
      <c r="D1624" s="8">
        <v>1.01</v>
      </c>
      <c r="E1624" s="4">
        <v>1</v>
      </c>
      <c r="F1624" s="8">
        <v>0.41</v>
      </c>
      <c r="G1624" s="4">
        <v>3</v>
      </c>
      <c r="H1624" s="8">
        <v>2.1</v>
      </c>
      <c r="I1624" s="4">
        <v>0</v>
      </c>
    </row>
    <row r="1625" spans="1:9" x14ac:dyDescent="0.2">
      <c r="A1625" s="2">
        <v>19</v>
      </c>
      <c r="B1625" s="1" t="s">
        <v>132</v>
      </c>
      <c r="C1625" s="4">
        <v>4</v>
      </c>
      <c r="D1625" s="8">
        <v>1.01</v>
      </c>
      <c r="E1625" s="4">
        <v>4</v>
      </c>
      <c r="F1625" s="8">
        <v>1.63</v>
      </c>
      <c r="G1625" s="4">
        <v>0</v>
      </c>
      <c r="H1625" s="8">
        <v>0</v>
      </c>
      <c r="I1625" s="4">
        <v>0</v>
      </c>
    </row>
    <row r="1626" spans="1:9" x14ac:dyDescent="0.2">
      <c r="A1626" s="2">
        <v>19</v>
      </c>
      <c r="B1626" s="1" t="s">
        <v>124</v>
      </c>
      <c r="C1626" s="4">
        <v>4</v>
      </c>
      <c r="D1626" s="8">
        <v>1.01</v>
      </c>
      <c r="E1626" s="4">
        <v>2</v>
      </c>
      <c r="F1626" s="8">
        <v>0.82</v>
      </c>
      <c r="G1626" s="4">
        <v>2</v>
      </c>
      <c r="H1626" s="8">
        <v>1.4</v>
      </c>
      <c r="I1626" s="4">
        <v>0</v>
      </c>
    </row>
    <row r="1627" spans="1:9" x14ac:dyDescent="0.2">
      <c r="A1627" s="2">
        <v>19</v>
      </c>
      <c r="B1627" s="1" t="s">
        <v>101</v>
      </c>
      <c r="C1627" s="4">
        <v>4</v>
      </c>
      <c r="D1627" s="8">
        <v>1.01</v>
      </c>
      <c r="E1627" s="4">
        <v>2</v>
      </c>
      <c r="F1627" s="8">
        <v>0.82</v>
      </c>
      <c r="G1627" s="4">
        <v>2</v>
      </c>
      <c r="H1627" s="8">
        <v>1.4</v>
      </c>
      <c r="I1627" s="4">
        <v>0</v>
      </c>
    </row>
    <row r="1628" spans="1:9" x14ac:dyDescent="0.2">
      <c r="A1628" s="2">
        <v>19</v>
      </c>
      <c r="B1628" s="1" t="s">
        <v>102</v>
      </c>
      <c r="C1628" s="4">
        <v>4</v>
      </c>
      <c r="D1628" s="8">
        <v>1.01</v>
      </c>
      <c r="E1628" s="4">
        <v>0</v>
      </c>
      <c r="F1628" s="8">
        <v>0</v>
      </c>
      <c r="G1628" s="4">
        <v>4</v>
      </c>
      <c r="H1628" s="8">
        <v>2.8</v>
      </c>
      <c r="I1628" s="4">
        <v>0</v>
      </c>
    </row>
    <row r="1629" spans="1:9" x14ac:dyDescent="0.2">
      <c r="A1629" s="2">
        <v>19</v>
      </c>
      <c r="B1629" s="1" t="s">
        <v>103</v>
      </c>
      <c r="C1629" s="4">
        <v>4</v>
      </c>
      <c r="D1629" s="8">
        <v>1.01</v>
      </c>
      <c r="E1629" s="4">
        <v>0</v>
      </c>
      <c r="F1629" s="8">
        <v>0</v>
      </c>
      <c r="G1629" s="4">
        <v>4</v>
      </c>
      <c r="H1629" s="8">
        <v>2.8</v>
      </c>
      <c r="I1629" s="4">
        <v>0</v>
      </c>
    </row>
    <row r="1630" spans="1:9" x14ac:dyDescent="0.2">
      <c r="A1630" s="2">
        <v>19</v>
      </c>
      <c r="B1630" s="1" t="s">
        <v>121</v>
      </c>
      <c r="C1630" s="4">
        <v>4</v>
      </c>
      <c r="D1630" s="8">
        <v>1.01</v>
      </c>
      <c r="E1630" s="4">
        <v>3</v>
      </c>
      <c r="F1630" s="8">
        <v>1.22</v>
      </c>
      <c r="G1630" s="4">
        <v>0</v>
      </c>
      <c r="H1630" s="8">
        <v>0</v>
      </c>
      <c r="I1630" s="4">
        <v>0</v>
      </c>
    </row>
    <row r="1631" spans="1:9" x14ac:dyDescent="0.2">
      <c r="A1631" s="1"/>
      <c r="C1631" s="4"/>
      <c r="D1631" s="8"/>
      <c r="E1631" s="4"/>
      <c r="F1631" s="8"/>
      <c r="G1631" s="4"/>
      <c r="H1631" s="8"/>
      <c r="I1631" s="4"/>
    </row>
    <row r="1632" spans="1:9" x14ac:dyDescent="0.2">
      <c r="A1632" s="1" t="s">
        <v>70</v>
      </c>
      <c r="C1632" s="4"/>
      <c r="D1632" s="8"/>
      <c r="E1632" s="4"/>
      <c r="F1632" s="8"/>
      <c r="G1632" s="4"/>
      <c r="H1632" s="8"/>
      <c r="I1632" s="4"/>
    </row>
    <row r="1633" spans="1:9" x14ac:dyDescent="0.2">
      <c r="A1633" s="2">
        <v>1</v>
      </c>
      <c r="B1633" s="1" t="s">
        <v>113</v>
      </c>
      <c r="C1633" s="4">
        <v>83</v>
      </c>
      <c r="D1633" s="8">
        <v>10.7</v>
      </c>
      <c r="E1633" s="4">
        <v>75</v>
      </c>
      <c r="F1633" s="8">
        <v>20.78</v>
      </c>
      <c r="G1633" s="4">
        <v>8</v>
      </c>
      <c r="H1633" s="8">
        <v>1.98</v>
      </c>
      <c r="I1633" s="4">
        <v>0</v>
      </c>
    </row>
    <row r="1634" spans="1:9" x14ac:dyDescent="0.2">
      <c r="A1634" s="2">
        <v>2</v>
      </c>
      <c r="B1634" s="1" t="s">
        <v>112</v>
      </c>
      <c r="C1634" s="4">
        <v>72</v>
      </c>
      <c r="D1634" s="8">
        <v>9.2799999999999994</v>
      </c>
      <c r="E1634" s="4">
        <v>66</v>
      </c>
      <c r="F1634" s="8">
        <v>18.28</v>
      </c>
      <c r="G1634" s="4">
        <v>6</v>
      </c>
      <c r="H1634" s="8">
        <v>1.49</v>
      </c>
      <c r="I1634" s="4">
        <v>0</v>
      </c>
    </row>
    <row r="1635" spans="1:9" x14ac:dyDescent="0.2">
      <c r="A1635" s="2">
        <v>3</v>
      </c>
      <c r="B1635" s="1" t="s">
        <v>98</v>
      </c>
      <c r="C1635" s="4">
        <v>57</v>
      </c>
      <c r="D1635" s="8">
        <v>7.35</v>
      </c>
      <c r="E1635" s="4">
        <v>11</v>
      </c>
      <c r="F1635" s="8">
        <v>3.05</v>
      </c>
      <c r="G1635" s="4">
        <v>46</v>
      </c>
      <c r="H1635" s="8">
        <v>11.39</v>
      </c>
      <c r="I1635" s="4">
        <v>0</v>
      </c>
    </row>
    <row r="1636" spans="1:9" x14ac:dyDescent="0.2">
      <c r="A1636" s="2">
        <v>4</v>
      </c>
      <c r="B1636" s="1" t="s">
        <v>107</v>
      </c>
      <c r="C1636" s="4">
        <v>44</v>
      </c>
      <c r="D1636" s="8">
        <v>5.67</v>
      </c>
      <c r="E1636" s="4">
        <v>20</v>
      </c>
      <c r="F1636" s="8">
        <v>5.54</v>
      </c>
      <c r="G1636" s="4">
        <v>24</v>
      </c>
      <c r="H1636" s="8">
        <v>5.94</v>
      </c>
      <c r="I1636" s="4">
        <v>0</v>
      </c>
    </row>
    <row r="1637" spans="1:9" x14ac:dyDescent="0.2">
      <c r="A1637" s="2">
        <v>5</v>
      </c>
      <c r="B1637" s="1" t="s">
        <v>109</v>
      </c>
      <c r="C1637" s="4">
        <v>41</v>
      </c>
      <c r="D1637" s="8">
        <v>5.28</v>
      </c>
      <c r="E1637" s="4">
        <v>13</v>
      </c>
      <c r="F1637" s="8">
        <v>3.6</v>
      </c>
      <c r="G1637" s="4">
        <v>28</v>
      </c>
      <c r="H1637" s="8">
        <v>6.93</v>
      </c>
      <c r="I1637" s="4">
        <v>0</v>
      </c>
    </row>
    <row r="1638" spans="1:9" x14ac:dyDescent="0.2">
      <c r="A1638" s="2">
        <v>5</v>
      </c>
      <c r="B1638" s="1" t="s">
        <v>114</v>
      </c>
      <c r="C1638" s="4">
        <v>41</v>
      </c>
      <c r="D1638" s="8">
        <v>5.28</v>
      </c>
      <c r="E1638" s="4">
        <v>30</v>
      </c>
      <c r="F1638" s="8">
        <v>8.31</v>
      </c>
      <c r="G1638" s="4">
        <v>5</v>
      </c>
      <c r="H1638" s="8">
        <v>1.24</v>
      </c>
      <c r="I1638" s="4">
        <v>2</v>
      </c>
    </row>
    <row r="1639" spans="1:9" x14ac:dyDescent="0.2">
      <c r="A1639" s="2">
        <v>7</v>
      </c>
      <c r="B1639" s="1" t="s">
        <v>105</v>
      </c>
      <c r="C1639" s="4">
        <v>38</v>
      </c>
      <c r="D1639" s="8">
        <v>4.9000000000000004</v>
      </c>
      <c r="E1639" s="4">
        <v>23</v>
      </c>
      <c r="F1639" s="8">
        <v>6.37</v>
      </c>
      <c r="G1639" s="4">
        <v>15</v>
      </c>
      <c r="H1639" s="8">
        <v>3.71</v>
      </c>
      <c r="I1639" s="4">
        <v>0</v>
      </c>
    </row>
    <row r="1640" spans="1:9" x14ac:dyDescent="0.2">
      <c r="A1640" s="2">
        <v>8</v>
      </c>
      <c r="B1640" s="1" t="s">
        <v>100</v>
      </c>
      <c r="C1640" s="4">
        <v>37</v>
      </c>
      <c r="D1640" s="8">
        <v>4.7699999999999996</v>
      </c>
      <c r="E1640" s="4">
        <v>6</v>
      </c>
      <c r="F1640" s="8">
        <v>1.66</v>
      </c>
      <c r="G1640" s="4">
        <v>31</v>
      </c>
      <c r="H1640" s="8">
        <v>7.67</v>
      </c>
      <c r="I1640" s="4">
        <v>0</v>
      </c>
    </row>
    <row r="1641" spans="1:9" x14ac:dyDescent="0.2">
      <c r="A1641" s="2">
        <v>9</v>
      </c>
      <c r="B1641" s="1" t="s">
        <v>106</v>
      </c>
      <c r="C1641" s="4">
        <v>34</v>
      </c>
      <c r="D1641" s="8">
        <v>4.38</v>
      </c>
      <c r="E1641" s="4">
        <v>18</v>
      </c>
      <c r="F1641" s="8">
        <v>4.99</v>
      </c>
      <c r="G1641" s="4">
        <v>16</v>
      </c>
      <c r="H1641" s="8">
        <v>3.96</v>
      </c>
      <c r="I1641" s="4">
        <v>0</v>
      </c>
    </row>
    <row r="1642" spans="1:9" x14ac:dyDescent="0.2">
      <c r="A1642" s="2">
        <v>10</v>
      </c>
      <c r="B1642" s="1" t="s">
        <v>115</v>
      </c>
      <c r="C1642" s="4">
        <v>31</v>
      </c>
      <c r="D1642" s="8">
        <v>3.99</v>
      </c>
      <c r="E1642" s="4">
        <v>27</v>
      </c>
      <c r="F1642" s="8">
        <v>7.48</v>
      </c>
      <c r="G1642" s="4">
        <v>4</v>
      </c>
      <c r="H1642" s="8">
        <v>0.99</v>
      </c>
      <c r="I1642" s="4">
        <v>0</v>
      </c>
    </row>
    <row r="1643" spans="1:9" x14ac:dyDescent="0.2">
      <c r="A1643" s="2">
        <v>11</v>
      </c>
      <c r="B1643" s="1" t="s">
        <v>101</v>
      </c>
      <c r="C1643" s="4">
        <v>22</v>
      </c>
      <c r="D1643" s="8">
        <v>2.84</v>
      </c>
      <c r="E1643" s="4">
        <v>1</v>
      </c>
      <c r="F1643" s="8">
        <v>0.28000000000000003</v>
      </c>
      <c r="G1643" s="4">
        <v>21</v>
      </c>
      <c r="H1643" s="8">
        <v>5.2</v>
      </c>
      <c r="I1643" s="4">
        <v>0</v>
      </c>
    </row>
    <row r="1644" spans="1:9" x14ac:dyDescent="0.2">
      <c r="A1644" s="2">
        <v>11</v>
      </c>
      <c r="B1644" s="1" t="s">
        <v>102</v>
      </c>
      <c r="C1644" s="4">
        <v>22</v>
      </c>
      <c r="D1644" s="8">
        <v>2.84</v>
      </c>
      <c r="E1644" s="4">
        <v>2</v>
      </c>
      <c r="F1644" s="8">
        <v>0.55000000000000004</v>
      </c>
      <c r="G1644" s="4">
        <v>20</v>
      </c>
      <c r="H1644" s="8">
        <v>4.95</v>
      </c>
      <c r="I1644" s="4">
        <v>0</v>
      </c>
    </row>
    <row r="1645" spans="1:9" x14ac:dyDescent="0.2">
      <c r="A1645" s="2">
        <v>13</v>
      </c>
      <c r="B1645" s="1" t="s">
        <v>123</v>
      </c>
      <c r="C1645" s="4">
        <v>16</v>
      </c>
      <c r="D1645" s="8">
        <v>2.06</v>
      </c>
      <c r="E1645" s="4">
        <v>14</v>
      </c>
      <c r="F1645" s="8">
        <v>3.88</v>
      </c>
      <c r="G1645" s="4">
        <v>2</v>
      </c>
      <c r="H1645" s="8">
        <v>0.5</v>
      </c>
      <c r="I1645" s="4">
        <v>0</v>
      </c>
    </row>
    <row r="1646" spans="1:9" x14ac:dyDescent="0.2">
      <c r="A1646" s="2">
        <v>14</v>
      </c>
      <c r="B1646" s="1" t="s">
        <v>116</v>
      </c>
      <c r="C1646" s="4">
        <v>15</v>
      </c>
      <c r="D1646" s="8">
        <v>1.93</v>
      </c>
      <c r="E1646" s="4">
        <v>0</v>
      </c>
      <c r="F1646" s="8">
        <v>0</v>
      </c>
      <c r="G1646" s="4">
        <v>15</v>
      </c>
      <c r="H1646" s="8">
        <v>3.71</v>
      </c>
      <c r="I1646" s="4">
        <v>0</v>
      </c>
    </row>
    <row r="1647" spans="1:9" x14ac:dyDescent="0.2">
      <c r="A1647" s="2">
        <v>15</v>
      </c>
      <c r="B1647" s="1" t="s">
        <v>99</v>
      </c>
      <c r="C1647" s="4">
        <v>13</v>
      </c>
      <c r="D1647" s="8">
        <v>1.68</v>
      </c>
      <c r="E1647" s="4">
        <v>6</v>
      </c>
      <c r="F1647" s="8">
        <v>1.66</v>
      </c>
      <c r="G1647" s="4">
        <v>7</v>
      </c>
      <c r="H1647" s="8">
        <v>1.73</v>
      </c>
      <c r="I1647" s="4">
        <v>0</v>
      </c>
    </row>
    <row r="1648" spans="1:9" x14ac:dyDescent="0.2">
      <c r="A1648" s="2">
        <v>16</v>
      </c>
      <c r="B1648" s="1" t="s">
        <v>137</v>
      </c>
      <c r="C1648" s="4">
        <v>12</v>
      </c>
      <c r="D1648" s="8">
        <v>1.55</v>
      </c>
      <c r="E1648" s="4">
        <v>0</v>
      </c>
      <c r="F1648" s="8">
        <v>0</v>
      </c>
      <c r="G1648" s="4">
        <v>12</v>
      </c>
      <c r="H1648" s="8">
        <v>2.97</v>
      </c>
      <c r="I1648" s="4">
        <v>0</v>
      </c>
    </row>
    <row r="1649" spans="1:9" x14ac:dyDescent="0.2">
      <c r="A1649" s="2">
        <v>16</v>
      </c>
      <c r="B1649" s="1" t="s">
        <v>118</v>
      </c>
      <c r="C1649" s="4">
        <v>12</v>
      </c>
      <c r="D1649" s="8">
        <v>1.55</v>
      </c>
      <c r="E1649" s="4">
        <v>4</v>
      </c>
      <c r="F1649" s="8">
        <v>1.1100000000000001</v>
      </c>
      <c r="G1649" s="4">
        <v>8</v>
      </c>
      <c r="H1649" s="8">
        <v>1.98</v>
      </c>
      <c r="I1649" s="4">
        <v>0</v>
      </c>
    </row>
    <row r="1650" spans="1:9" x14ac:dyDescent="0.2">
      <c r="A1650" s="2">
        <v>18</v>
      </c>
      <c r="B1650" s="1" t="s">
        <v>117</v>
      </c>
      <c r="C1650" s="4">
        <v>11</v>
      </c>
      <c r="D1650" s="8">
        <v>1.42</v>
      </c>
      <c r="E1650" s="4">
        <v>0</v>
      </c>
      <c r="F1650" s="8">
        <v>0</v>
      </c>
      <c r="G1650" s="4">
        <v>11</v>
      </c>
      <c r="H1650" s="8">
        <v>2.72</v>
      </c>
      <c r="I1650" s="4">
        <v>0</v>
      </c>
    </row>
    <row r="1651" spans="1:9" x14ac:dyDescent="0.2">
      <c r="A1651" s="2">
        <v>19</v>
      </c>
      <c r="B1651" s="1" t="s">
        <v>120</v>
      </c>
      <c r="C1651" s="4">
        <v>9</v>
      </c>
      <c r="D1651" s="8">
        <v>1.1599999999999999</v>
      </c>
      <c r="E1651" s="4">
        <v>0</v>
      </c>
      <c r="F1651" s="8">
        <v>0</v>
      </c>
      <c r="G1651" s="4">
        <v>8</v>
      </c>
      <c r="H1651" s="8">
        <v>1.98</v>
      </c>
      <c r="I1651" s="4">
        <v>1</v>
      </c>
    </row>
    <row r="1652" spans="1:9" x14ac:dyDescent="0.2">
      <c r="A1652" s="2">
        <v>19</v>
      </c>
      <c r="B1652" s="1" t="s">
        <v>108</v>
      </c>
      <c r="C1652" s="4">
        <v>9</v>
      </c>
      <c r="D1652" s="8">
        <v>1.1599999999999999</v>
      </c>
      <c r="E1652" s="4">
        <v>0</v>
      </c>
      <c r="F1652" s="8">
        <v>0</v>
      </c>
      <c r="G1652" s="4">
        <v>9</v>
      </c>
      <c r="H1652" s="8">
        <v>2.23</v>
      </c>
      <c r="I1652" s="4">
        <v>0</v>
      </c>
    </row>
    <row r="1653" spans="1:9" x14ac:dyDescent="0.2">
      <c r="A1653" s="2">
        <v>19</v>
      </c>
      <c r="B1653" s="1" t="s">
        <v>110</v>
      </c>
      <c r="C1653" s="4">
        <v>9</v>
      </c>
      <c r="D1653" s="8">
        <v>1.1599999999999999</v>
      </c>
      <c r="E1653" s="4">
        <v>7</v>
      </c>
      <c r="F1653" s="8">
        <v>1.94</v>
      </c>
      <c r="G1653" s="4">
        <v>2</v>
      </c>
      <c r="H1653" s="8">
        <v>0.5</v>
      </c>
      <c r="I1653" s="4">
        <v>0</v>
      </c>
    </row>
    <row r="1654" spans="1:9" x14ac:dyDescent="0.2">
      <c r="A1654" s="2">
        <v>19</v>
      </c>
      <c r="B1654" s="1" t="s">
        <v>111</v>
      </c>
      <c r="C1654" s="4">
        <v>9</v>
      </c>
      <c r="D1654" s="8">
        <v>1.1599999999999999</v>
      </c>
      <c r="E1654" s="4">
        <v>6</v>
      </c>
      <c r="F1654" s="8">
        <v>1.66</v>
      </c>
      <c r="G1654" s="4">
        <v>3</v>
      </c>
      <c r="H1654" s="8">
        <v>0.74</v>
      </c>
      <c r="I1654" s="4">
        <v>0</v>
      </c>
    </row>
    <row r="1655" spans="1:9" x14ac:dyDescent="0.2">
      <c r="A1655" s="2">
        <v>19</v>
      </c>
      <c r="B1655" s="1" t="s">
        <v>127</v>
      </c>
      <c r="C1655" s="4">
        <v>9</v>
      </c>
      <c r="D1655" s="8">
        <v>1.1599999999999999</v>
      </c>
      <c r="E1655" s="4">
        <v>5</v>
      </c>
      <c r="F1655" s="8">
        <v>1.39</v>
      </c>
      <c r="G1655" s="4">
        <v>3</v>
      </c>
      <c r="H1655" s="8">
        <v>0.74</v>
      </c>
      <c r="I1655" s="4">
        <v>0</v>
      </c>
    </row>
    <row r="1656" spans="1:9" x14ac:dyDescent="0.2">
      <c r="A1656" s="1"/>
      <c r="C1656" s="4"/>
      <c r="D1656" s="8"/>
      <c r="E1656" s="4"/>
      <c r="F1656" s="8"/>
      <c r="G1656" s="4"/>
      <c r="H1656" s="8"/>
      <c r="I1656" s="4"/>
    </row>
    <row r="1657" spans="1:9" x14ac:dyDescent="0.2">
      <c r="A1657" s="1" t="s">
        <v>71</v>
      </c>
      <c r="C1657" s="4"/>
      <c r="D1657" s="8"/>
      <c r="E1657" s="4"/>
      <c r="F1657" s="8"/>
      <c r="G1657" s="4"/>
      <c r="H1657" s="8"/>
      <c r="I1657" s="4"/>
    </row>
    <row r="1658" spans="1:9" x14ac:dyDescent="0.2">
      <c r="A1658" s="2">
        <v>1</v>
      </c>
      <c r="B1658" s="1" t="s">
        <v>98</v>
      </c>
      <c r="C1658" s="4">
        <v>68</v>
      </c>
      <c r="D1658" s="8">
        <v>17.940000000000001</v>
      </c>
      <c r="E1658" s="4">
        <v>28</v>
      </c>
      <c r="F1658" s="8">
        <v>12.33</v>
      </c>
      <c r="G1658" s="4">
        <v>40</v>
      </c>
      <c r="H1658" s="8">
        <v>28.99</v>
      </c>
      <c r="I1658" s="4">
        <v>0</v>
      </c>
    </row>
    <row r="1659" spans="1:9" x14ac:dyDescent="0.2">
      <c r="A1659" s="2">
        <v>2</v>
      </c>
      <c r="B1659" s="1" t="s">
        <v>113</v>
      </c>
      <c r="C1659" s="4">
        <v>46</v>
      </c>
      <c r="D1659" s="8">
        <v>12.14</v>
      </c>
      <c r="E1659" s="4">
        <v>45</v>
      </c>
      <c r="F1659" s="8">
        <v>19.82</v>
      </c>
      <c r="G1659" s="4">
        <v>1</v>
      </c>
      <c r="H1659" s="8">
        <v>0.72</v>
      </c>
      <c r="I1659" s="4">
        <v>0</v>
      </c>
    </row>
    <row r="1660" spans="1:9" x14ac:dyDescent="0.2">
      <c r="A1660" s="2">
        <v>3</v>
      </c>
      <c r="B1660" s="1" t="s">
        <v>105</v>
      </c>
      <c r="C1660" s="4">
        <v>33</v>
      </c>
      <c r="D1660" s="8">
        <v>8.7100000000000009</v>
      </c>
      <c r="E1660" s="4">
        <v>27</v>
      </c>
      <c r="F1660" s="8">
        <v>11.89</v>
      </c>
      <c r="G1660" s="4">
        <v>6</v>
      </c>
      <c r="H1660" s="8">
        <v>4.3499999999999996</v>
      </c>
      <c r="I1660" s="4">
        <v>0</v>
      </c>
    </row>
    <row r="1661" spans="1:9" x14ac:dyDescent="0.2">
      <c r="A1661" s="2">
        <v>4</v>
      </c>
      <c r="B1661" s="1" t="s">
        <v>112</v>
      </c>
      <c r="C1661" s="4">
        <v>21</v>
      </c>
      <c r="D1661" s="8">
        <v>5.54</v>
      </c>
      <c r="E1661" s="4">
        <v>19</v>
      </c>
      <c r="F1661" s="8">
        <v>8.3699999999999992</v>
      </c>
      <c r="G1661" s="4">
        <v>2</v>
      </c>
      <c r="H1661" s="8">
        <v>1.45</v>
      </c>
      <c r="I1661" s="4">
        <v>0</v>
      </c>
    </row>
    <row r="1662" spans="1:9" x14ac:dyDescent="0.2">
      <c r="A1662" s="2">
        <v>5</v>
      </c>
      <c r="B1662" s="1" t="s">
        <v>107</v>
      </c>
      <c r="C1662" s="4">
        <v>16</v>
      </c>
      <c r="D1662" s="8">
        <v>4.22</v>
      </c>
      <c r="E1662" s="4">
        <v>12</v>
      </c>
      <c r="F1662" s="8">
        <v>5.29</v>
      </c>
      <c r="G1662" s="4">
        <v>4</v>
      </c>
      <c r="H1662" s="8">
        <v>2.9</v>
      </c>
      <c r="I1662" s="4">
        <v>0</v>
      </c>
    </row>
    <row r="1663" spans="1:9" x14ac:dyDescent="0.2">
      <c r="A1663" s="2">
        <v>5</v>
      </c>
      <c r="B1663" s="1" t="s">
        <v>111</v>
      </c>
      <c r="C1663" s="4">
        <v>16</v>
      </c>
      <c r="D1663" s="8">
        <v>4.22</v>
      </c>
      <c r="E1663" s="4">
        <v>6</v>
      </c>
      <c r="F1663" s="8">
        <v>2.64</v>
      </c>
      <c r="G1663" s="4">
        <v>10</v>
      </c>
      <c r="H1663" s="8">
        <v>7.25</v>
      </c>
      <c r="I1663" s="4">
        <v>0</v>
      </c>
    </row>
    <row r="1664" spans="1:9" x14ac:dyDescent="0.2">
      <c r="A1664" s="2">
        <v>7</v>
      </c>
      <c r="B1664" s="1" t="s">
        <v>114</v>
      </c>
      <c r="C1664" s="4">
        <v>15</v>
      </c>
      <c r="D1664" s="8">
        <v>3.96</v>
      </c>
      <c r="E1664" s="4">
        <v>9</v>
      </c>
      <c r="F1664" s="8">
        <v>3.96</v>
      </c>
      <c r="G1664" s="4">
        <v>0</v>
      </c>
      <c r="H1664" s="8">
        <v>0</v>
      </c>
      <c r="I1664" s="4">
        <v>0</v>
      </c>
    </row>
    <row r="1665" spans="1:9" x14ac:dyDescent="0.2">
      <c r="A1665" s="2">
        <v>8</v>
      </c>
      <c r="B1665" s="1" t="s">
        <v>100</v>
      </c>
      <c r="C1665" s="4">
        <v>14</v>
      </c>
      <c r="D1665" s="8">
        <v>3.69</v>
      </c>
      <c r="E1665" s="4">
        <v>8</v>
      </c>
      <c r="F1665" s="8">
        <v>3.52</v>
      </c>
      <c r="G1665" s="4">
        <v>6</v>
      </c>
      <c r="H1665" s="8">
        <v>4.3499999999999996</v>
      </c>
      <c r="I1665" s="4">
        <v>0</v>
      </c>
    </row>
    <row r="1666" spans="1:9" x14ac:dyDescent="0.2">
      <c r="A1666" s="2">
        <v>8</v>
      </c>
      <c r="B1666" s="1" t="s">
        <v>115</v>
      </c>
      <c r="C1666" s="4">
        <v>14</v>
      </c>
      <c r="D1666" s="8">
        <v>3.69</v>
      </c>
      <c r="E1666" s="4">
        <v>12</v>
      </c>
      <c r="F1666" s="8">
        <v>5.29</v>
      </c>
      <c r="G1666" s="4">
        <v>2</v>
      </c>
      <c r="H1666" s="8">
        <v>1.45</v>
      </c>
      <c r="I1666" s="4">
        <v>0</v>
      </c>
    </row>
    <row r="1667" spans="1:9" x14ac:dyDescent="0.2">
      <c r="A1667" s="2">
        <v>10</v>
      </c>
      <c r="B1667" s="1" t="s">
        <v>99</v>
      </c>
      <c r="C1667" s="4">
        <v>13</v>
      </c>
      <c r="D1667" s="8">
        <v>3.43</v>
      </c>
      <c r="E1667" s="4">
        <v>5</v>
      </c>
      <c r="F1667" s="8">
        <v>2.2000000000000002</v>
      </c>
      <c r="G1667" s="4">
        <v>8</v>
      </c>
      <c r="H1667" s="8">
        <v>5.8</v>
      </c>
      <c r="I1667" s="4">
        <v>0</v>
      </c>
    </row>
    <row r="1668" spans="1:9" x14ac:dyDescent="0.2">
      <c r="A1668" s="2">
        <v>10</v>
      </c>
      <c r="B1668" s="1" t="s">
        <v>106</v>
      </c>
      <c r="C1668" s="4">
        <v>13</v>
      </c>
      <c r="D1668" s="8">
        <v>3.43</v>
      </c>
      <c r="E1668" s="4">
        <v>11</v>
      </c>
      <c r="F1668" s="8">
        <v>4.8499999999999996</v>
      </c>
      <c r="G1668" s="4">
        <v>2</v>
      </c>
      <c r="H1668" s="8">
        <v>1.45</v>
      </c>
      <c r="I1668" s="4">
        <v>0</v>
      </c>
    </row>
    <row r="1669" spans="1:9" x14ac:dyDescent="0.2">
      <c r="A1669" s="2">
        <v>12</v>
      </c>
      <c r="B1669" s="1" t="s">
        <v>116</v>
      </c>
      <c r="C1669" s="4">
        <v>10</v>
      </c>
      <c r="D1669" s="8">
        <v>2.64</v>
      </c>
      <c r="E1669" s="4">
        <v>0</v>
      </c>
      <c r="F1669" s="8">
        <v>0</v>
      </c>
      <c r="G1669" s="4">
        <v>9</v>
      </c>
      <c r="H1669" s="8">
        <v>6.52</v>
      </c>
      <c r="I1669" s="4">
        <v>0</v>
      </c>
    </row>
    <row r="1670" spans="1:9" x14ac:dyDescent="0.2">
      <c r="A1670" s="2">
        <v>13</v>
      </c>
      <c r="B1670" s="1" t="s">
        <v>121</v>
      </c>
      <c r="C1670" s="4">
        <v>8</v>
      </c>
      <c r="D1670" s="8">
        <v>2.11</v>
      </c>
      <c r="E1670" s="4">
        <v>6</v>
      </c>
      <c r="F1670" s="8">
        <v>2.64</v>
      </c>
      <c r="G1670" s="4">
        <v>2</v>
      </c>
      <c r="H1670" s="8">
        <v>1.45</v>
      </c>
      <c r="I1670" s="4">
        <v>0</v>
      </c>
    </row>
    <row r="1671" spans="1:9" x14ac:dyDescent="0.2">
      <c r="A1671" s="2">
        <v>13</v>
      </c>
      <c r="B1671" s="1" t="s">
        <v>127</v>
      </c>
      <c r="C1671" s="4">
        <v>8</v>
      </c>
      <c r="D1671" s="8">
        <v>2.11</v>
      </c>
      <c r="E1671" s="4">
        <v>2</v>
      </c>
      <c r="F1671" s="8">
        <v>0.88</v>
      </c>
      <c r="G1671" s="4">
        <v>0</v>
      </c>
      <c r="H1671" s="8">
        <v>0</v>
      </c>
      <c r="I1671" s="4">
        <v>0</v>
      </c>
    </row>
    <row r="1672" spans="1:9" x14ac:dyDescent="0.2">
      <c r="A1672" s="2">
        <v>15</v>
      </c>
      <c r="B1672" s="1" t="s">
        <v>123</v>
      </c>
      <c r="C1672" s="4">
        <v>7</v>
      </c>
      <c r="D1672" s="8">
        <v>1.85</v>
      </c>
      <c r="E1672" s="4">
        <v>7</v>
      </c>
      <c r="F1672" s="8">
        <v>3.08</v>
      </c>
      <c r="G1672" s="4">
        <v>0</v>
      </c>
      <c r="H1672" s="8">
        <v>0</v>
      </c>
      <c r="I1672" s="4">
        <v>0</v>
      </c>
    </row>
    <row r="1673" spans="1:9" x14ac:dyDescent="0.2">
      <c r="A1673" s="2">
        <v>16</v>
      </c>
      <c r="B1673" s="1" t="s">
        <v>101</v>
      </c>
      <c r="C1673" s="4">
        <v>6</v>
      </c>
      <c r="D1673" s="8">
        <v>1.58</v>
      </c>
      <c r="E1673" s="4">
        <v>1</v>
      </c>
      <c r="F1673" s="8">
        <v>0.44</v>
      </c>
      <c r="G1673" s="4">
        <v>5</v>
      </c>
      <c r="H1673" s="8">
        <v>3.62</v>
      </c>
      <c r="I1673" s="4">
        <v>0</v>
      </c>
    </row>
    <row r="1674" spans="1:9" x14ac:dyDescent="0.2">
      <c r="A1674" s="2">
        <v>16</v>
      </c>
      <c r="B1674" s="1" t="s">
        <v>118</v>
      </c>
      <c r="C1674" s="4">
        <v>6</v>
      </c>
      <c r="D1674" s="8">
        <v>1.58</v>
      </c>
      <c r="E1674" s="4">
        <v>3</v>
      </c>
      <c r="F1674" s="8">
        <v>1.32</v>
      </c>
      <c r="G1674" s="4">
        <v>3</v>
      </c>
      <c r="H1674" s="8">
        <v>2.17</v>
      </c>
      <c r="I1674" s="4">
        <v>0</v>
      </c>
    </row>
    <row r="1675" spans="1:9" x14ac:dyDescent="0.2">
      <c r="A1675" s="2">
        <v>18</v>
      </c>
      <c r="B1675" s="1" t="s">
        <v>119</v>
      </c>
      <c r="C1675" s="4">
        <v>5</v>
      </c>
      <c r="D1675" s="8">
        <v>1.32</v>
      </c>
      <c r="E1675" s="4">
        <v>2</v>
      </c>
      <c r="F1675" s="8">
        <v>0.88</v>
      </c>
      <c r="G1675" s="4">
        <v>3</v>
      </c>
      <c r="H1675" s="8">
        <v>2.17</v>
      </c>
      <c r="I1675" s="4">
        <v>0</v>
      </c>
    </row>
    <row r="1676" spans="1:9" x14ac:dyDescent="0.2">
      <c r="A1676" s="2">
        <v>18</v>
      </c>
      <c r="B1676" s="1" t="s">
        <v>104</v>
      </c>
      <c r="C1676" s="4">
        <v>5</v>
      </c>
      <c r="D1676" s="8">
        <v>1.32</v>
      </c>
      <c r="E1676" s="4">
        <v>5</v>
      </c>
      <c r="F1676" s="8">
        <v>2.2000000000000002</v>
      </c>
      <c r="G1676" s="4">
        <v>0</v>
      </c>
      <c r="H1676" s="8">
        <v>0</v>
      </c>
      <c r="I1676" s="4">
        <v>0</v>
      </c>
    </row>
    <row r="1677" spans="1:9" x14ac:dyDescent="0.2">
      <c r="A1677" s="2">
        <v>20</v>
      </c>
      <c r="B1677" s="1" t="s">
        <v>135</v>
      </c>
      <c r="C1677" s="4">
        <v>4</v>
      </c>
      <c r="D1677" s="8">
        <v>1.06</v>
      </c>
      <c r="E1677" s="4">
        <v>2</v>
      </c>
      <c r="F1677" s="8">
        <v>0.88</v>
      </c>
      <c r="G1677" s="4">
        <v>2</v>
      </c>
      <c r="H1677" s="8">
        <v>1.45</v>
      </c>
      <c r="I1677" s="4">
        <v>0</v>
      </c>
    </row>
    <row r="1678" spans="1:9" x14ac:dyDescent="0.2">
      <c r="A1678" s="2">
        <v>20</v>
      </c>
      <c r="B1678" s="1" t="s">
        <v>129</v>
      </c>
      <c r="C1678" s="4">
        <v>4</v>
      </c>
      <c r="D1678" s="8">
        <v>1.06</v>
      </c>
      <c r="E1678" s="4">
        <v>1</v>
      </c>
      <c r="F1678" s="8">
        <v>0.44</v>
      </c>
      <c r="G1678" s="4">
        <v>3</v>
      </c>
      <c r="H1678" s="8">
        <v>2.17</v>
      </c>
      <c r="I1678" s="4">
        <v>0</v>
      </c>
    </row>
    <row r="1679" spans="1:9" x14ac:dyDescent="0.2">
      <c r="A1679" s="1"/>
      <c r="C1679" s="4"/>
      <c r="D1679" s="8"/>
      <c r="E1679" s="4"/>
      <c r="F1679" s="8"/>
      <c r="G1679" s="4"/>
      <c r="H1679" s="8"/>
      <c r="I1679" s="4"/>
    </row>
    <row r="1680" spans="1:9" x14ac:dyDescent="0.2">
      <c r="A1680" s="1" t="s">
        <v>72</v>
      </c>
      <c r="C1680" s="4"/>
      <c r="D1680" s="8"/>
      <c r="E1680" s="4"/>
      <c r="F1680" s="8"/>
      <c r="G1680" s="4"/>
      <c r="H1680" s="8"/>
      <c r="I1680" s="4"/>
    </row>
    <row r="1681" spans="1:9" x14ac:dyDescent="0.2">
      <c r="A1681" s="2">
        <v>1</v>
      </c>
      <c r="B1681" s="1" t="s">
        <v>113</v>
      </c>
      <c r="C1681" s="4">
        <v>19</v>
      </c>
      <c r="D1681" s="8">
        <v>16.96</v>
      </c>
      <c r="E1681" s="4">
        <v>19</v>
      </c>
      <c r="F1681" s="8">
        <v>25.33</v>
      </c>
      <c r="G1681" s="4">
        <v>0</v>
      </c>
      <c r="H1681" s="8">
        <v>0</v>
      </c>
      <c r="I1681" s="4">
        <v>0</v>
      </c>
    </row>
    <row r="1682" spans="1:9" x14ac:dyDescent="0.2">
      <c r="A1682" s="2">
        <v>2</v>
      </c>
      <c r="B1682" s="1" t="s">
        <v>109</v>
      </c>
      <c r="C1682" s="4">
        <v>15</v>
      </c>
      <c r="D1682" s="8">
        <v>13.39</v>
      </c>
      <c r="E1682" s="4">
        <v>12</v>
      </c>
      <c r="F1682" s="8">
        <v>16</v>
      </c>
      <c r="G1682" s="4">
        <v>3</v>
      </c>
      <c r="H1682" s="8">
        <v>8.11</v>
      </c>
      <c r="I1682" s="4">
        <v>0</v>
      </c>
    </row>
    <row r="1683" spans="1:9" x14ac:dyDescent="0.2">
      <c r="A1683" s="2">
        <v>3</v>
      </c>
      <c r="B1683" s="1" t="s">
        <v>100</v>
      </c>
      <c r="C1683" s="4">
        <v>11</v>
      </c>
      <c r="D1683" s="8">
        <v>9.82</v>
      </c>
      <c r="E1683" s="4">
        <v>4</v>
      </c>
      <c r="F1683" s="8">
        <v>5.33</v>
      </c>
      <c r="G1683" s="4">
        <v>7</v>
      </c>
      <c r="H1683" s="8">
        <v>18.920000000000002</v>
      </c>
      <c r="I1683" s="4">
        <v>0</v>
      </c>
    </row>
    <row r="1684" spans="1:9" x14ac:dyDescent="0.2">
      <c r="A1684" s="2">
        <v>4</v>
      </c>
      <c r="B1684" s="1" t="s">
        <v>98</v>
      </c>
      <c r="C1684" s="4">
        <v>10</v>
      </c>
      <c r="D1684" s="8">
        <v>8.93</v>
      </c>
      <c r="E1684" s="4">
        <v>2</v>
      </c>
      <c r="F1684" s="8">
        <v>2.67</v>
      </c>
      <c r="G1684" s="4">
        <v>8</v>
      </c>
      <c r="H1684" s="8">
        <v>21.62</v>
      </c>
      <c r="I1684" s="4">
        <v>0</v>
      </c>
    </row>
    <row r="1685" spans="1:9" x14ac:dyDescent="0.2">
      <c r="A1685" s="2">
        <v>4</v>
      </c>
      <c r="B1685" s="1" t="s">
        <v>107</v>
      </c>
      <c r="C1685" s="4">
        <v>10</v>
      </c>
      <c r="D1685" s="8">
        <v>8.93</v>
      </c>
      <c r="E1685" s="4">
        <v>6</v>
      </c>
      <c r="F1685" s="8">
        <v>8</v>
      </c>
      <c r="G1685" s="4">
        <v>4</v>
      </c>
      <c r="H1685" s="8">
        <v>10.81</v>
      </c>
      <c r="I1685" s="4">
        <v>0</v>
      </c>
    </row>
    <row r="1686" spans="1:9" x14ac:dyDescent="0.2">
      <c r="A1686" s="2">
        <v>6</v>
      </c>
      <c r="B1686" s="1" t="s">
        <v>105</v>
      </c>
      <c r="C1686" s="4">
        <v>6</v>
      </c>
      <c r="D1686" s="8">
        <v>5.36</v>
      </c>
      <c r="E1686" s="4">
        <v>5</v>
      </c>
      <c r="F1686" s="8">
        <v>6.67</v>
      </c>
      <c r="G1686" s="4">
        <v>1</v>
      </c>
      <c r="H1686" s="8">
        <v>2.7</v>
      </c>
      <c r="I1686" s="4">
        <v>0</v>
      </c>
    </row>
    <row r="1687" spans="1:9" x14ac:dyDescent="0.2">
      <c r="A1687" s="2">
        <v>7</v>
      </c>
      <c r="B1687" s="1" t="s">
        <v>112</v>
      </c>
      <c r="C1687" s="4">
        <v>5</v>
      </c>
      <c r="D1687" s="8">
        <v>4.46</v>
      </c>
      <c r="E1687" s="4">
        <v>5</v>
      </c>
      <c r="F1687" s="8">
        <v>6.67</v>
      </c>
      <c r="G1687" s="4">
        <v>0</v>
      </c>
      <c r="H1687" s="8">
        <v>0</v>
      </c>
      <c r="I1687" s="4">
        <v>0</v>
      </c>
    </row>
    <row r="1688" spans="1:9" x14ac:dyDescent="0.2">
      <c r="A1688" s="2">
        <v>8</v>
      </c>
      <c r="B1688" s="1" t="s">
        <v>115</v>
      </c>
      <c r="C1688" s="4">
        <v>4</v>
      </c>
      <c r="D1688" s="8">
        <v>3.57</v>
      </c>
      <c r="E1688" s="4">
        <v>4</v>
      </c>
      <c r="F1688" s="8">
        <v>5.33</v>
      </c>
      <c r="G1688" s="4">
        <v>0</v>
      </c>
      <c r="H1688" s="8">
        <v>0</v>
      </c>
      <c r="I1688" s="4">
        <v>0</v>
      </c>
    </row>
    <row r="1689" spans="1:9" x14ac:dyDescent="0.2">
      <c r="A1689" s="2">
        <v>9</v>
      </c>
      <c r="B1689" s="1" t="s">
        <v>106</v>
      </c>
      <c r="C1689" s="4">
        <v>3</v>
      </c>
      <c r="D1689" s="8">
        <v>2.68</v>
      </c>
      <c r="E1689" s="4">
        <v>3</v>
      </c>
      <c r="F1689" s="8">
        <v>4</v>
      </c>
      <c r="G1689" s="4">
        <v>0</v>
      </c>
      <c r="H1689" s="8">
        <v>0</v>
      </c>
      <c r="I1689" s="4">
        <v>0</v>
      </c>
    </row>
    <row r="1690" spans="1:9" x14ac:dyDescent="0.2">
      <c r="A1690" s="2">
        <v>10</v>
      </c>
      <c r="B1690" s="1" t="s">
        <v>130</v>
      </c>
      <c r="C1690" s="4">
        <v>2</v>
      </c>
      <c r="D1690" s="8">
        <v>1.79</v>
      </c>
      <c r="E1690" s="4">
        <v>2</v>
      </c>
      <c r="F1690" s="8">
        <v>2.67</v>
      </c>
      <c r="G1690" s="4">
        <v>0</v>
      </c>
      <c r="H1690" s="8">
        <v>0</v>
      </c>
      <c r="I1690" s="4">
        <v>0</v>
      </c>
    </row>
    <row r="1691" spans="1:9" x14ac:dyDescent="0.2">
      <c r="A1691" s="2">
        <v>10</v>
      </c>
      <c r="B1691" s="1" t="s">
        <v>134</v>
      </c>
      <c r="C1691" s="4">
        <v>2</v>
      </c>
      <c r="D1691" s="8">
        <v>1.79</v>
      </c>
      <c r="E1691" s="4">
        <v>1</v>
      </c>
      <c r="F1691" s="8">
        <v>1.33</v>
      </c>
      <c r="G1691" s="4">
        <v>1</v>
      </c>
      <c r="H1691" s="8">
        <v>2.7</v>
      </c>
      <c r="I1691" s="4">
        <v>0</v>
      </c>
    </row>
    <row r="1692" spans="1:9" x14ac:dyDescent="0.2">
      <c r="A1692" s="2">
        <v>10</v>
      </c>
      <c r="B1692" s="1" t="s">
        <v>111</v>
      </c>
      <c r="C1692" s="4">
        <v>2</v>
      </c>
      <c r="D1692" s="8">
        <v>1.79</v>
      </c>
      <c r="E1692" s="4">
        <v>1</v>
      </c>
      <c r="F1692" s="8">
        <v>1.33</v>
      </c>
      <c r="G1692" s="4">
        <v>1</v>
      </c>
      <c r="H1692" s="8">
        <v>2.7</v>
      </c>
      <c r="I1692" s="4">
        <v>0</v>
      </c>
    </row>
    <row r="1693" spans="1:9" x14ac:dyDescent="0.2">
      <c r="A1693" s="2">
        <v>10</v>
      </c>
      <c r="B1693" s="1" t="s">
        <v>121</v>
      </c>
      <c r="C1693" s="4">
        <v>2</v>
      </c>
      <c r="D1693" s="8">
        <v>1.79</v>
      </c>
      <c r="E1693" s="4">
        <v>1</v>
      </c>
      <c r="F1693" s="8">
        <v>1.33</v>
      </c>
      <c r="G1693" s="4">
        <v>1</v>
      </c>
      <c r="H1693" s="8">
        <v>2.7</v>
      </c>
      <c r="I1693" s="4">
        <v>0</v>
      </c>
    </row>
    <row r="1694" spans="1:9" x14ac:dyDescent="0.2">
      <c r="A1694" s="2">
        <v>10</v>
      </c>
      <c r="B1694" s="1" t="s">
        <v>118</v>
      </c>
      <c r="C1694" s="4">
        <v>2</v>
      </c>
      <c r="D1694" s="8">
        <v>1.79</v>
      </c>
      <c r="E1694" s="4">
        <v>1</v>
      </c>
      <c r="F1694" s="8">
        <v>1.33</v>
      </c>
      <c r="G1694" s="4">
        <v>1</v>
      </c>
      <c r="H1694" s="8">
        <v>2.7</v>
      </c>
      <c r="I1694" s="4">
        <v>0</v>
      </c>
    </row>
    <row r="1695" spans="1:9" x14ac:dyDescent="0.2">
      <c r="A1695" s="2">
        <v>10</v>
      </c>
      <c r="B1695" s="1" t="s">
        <v>114</v>
      </c>
      <c r="C1695" s="4">
        <v>2</v>
      </c>
      <c r="D1695" s="8">
        <v>1.79</v>
      </c>
      <c r="E1695" s="4">
        <v>2</v>
      </c>
      <c r="F1695" s="8">
        <v>2.67</v>
      </c>
      <c r="G1695" s="4">
        <v>0</v>
      </c>
      <c r="H1695" s="8">
        <v>0</v>
      </c>
      <c r="I1695" s="4">
        <v>0</v>
      </c>
    </row>
    <row r="1696" spans="1:9" x14ac:dyDescent="0.2">
      <c r="A1696" s="2">
        <v>10</v>
      </c>
      <c r="B1696" s="1" t="s">
        <v>123</v>
      </c>
      <c r="C1696" s="4">
        <v>2</v>
      </c>
      <c r="D1696" s="8">
        <v>1.79</v>
      </c>
      <c r="E1696" s="4">
        <v>2</v>
      </c>
      <c r="F1696" s="8">
        <v>2.67</v>
      </c>
      <c r="G1696" s="4">
        <v>0</v>
      </c>
      <c r="H1696" s="8">
        <v>0</v>
      </c>
      <c r="I1696" s="4">
        <v>0</v>
      </c>
    </row>
    <row r="1697" spans="1:9" x14ac:dyDescent="0.2">
      <c r="A1697" s="2">
        <v>17</v>
      </c>
      <c r="B1697" s="1" t="s">
        <v>99</v>
      </c>
      <c r="C1697" s="4">
        <v>1</v>
      </c>
      <c r="D1697" s="8">
        <v>0.89</v>
      </c>
      <c r="E1697" s="4">
        <v>0</v>
      </c>
      <c r="F1697" s="8">
        <v>0</v>
      </c>
      <c r="G1697" s="4">
        <v>1</v>
      </c>
      <c r="H1697" s="8">
        <v>2.7</v>
      </c>
      <c r="I1697" s="4">
        <v>0</v>
      </c>
    </row>
    <row r="1698" spans="1:9" x14ac:dyDescent="0.2">
      <c r="A1698" s="2">
        <v>17</v>
      </c>
      <c r="B1698" s="1" t="s">
        <v>135</v>
      </c>
      <c r="C1698" s="4">
        <v>1</v>
      </c>
      <c r="D1698" s="8">
        <v>0.89</v>
      </c>
      <c r="E1698" s="4">
        <v>0</v>
      </c>
      <c r="F1698" s="8">
        <v>0</v>
      </c>
      <c r="G1698" s="4">
        <v>1</v>
      </c>
      <c r="H1698" s="8">
        <v>2.7</v>
      </c>
      <c r="I1698" s="4">
        <v>0</v>
      </c>
    </row>
    <row r="1699" spans="1:9" x14ac:dyDescent="0.2">
      <c r="A1699" s="2">
        <v>17</v>
      </c>
      <c r="B1699" s="1" t="s">
        <v>129</v>
      </c>
      <c r="C1699" s="4">
        <v>1</v>
      </c>
      <c r="D1699" s="8">
        <v>0.89</v>
      </c>
      <c r="E1699" s="4">
        <v>0</v>
      </c>
      <c r="F1699" s="8">
        <v>0</v>
      </c>
      <c r="G1699" s="4">
        <v>1</v>
      </c>
      <c r="H1699" s="8">
        <v>2.7</v>
      </c>
      <c r="I1699" s="4">
        <v>0</v>
      </c>
    </row>
    <row r="1700" spans="1:9" x14ac:dyDescent="0.2">
      <c r="A1700" s="2">
        <v>17</v>
      </c>
      <c r="B1700" s="1" t="s">
        <v>145</v>
      </c>
      <c r="C1700" s="4">
        <v>1</v>
      </c>
      <c r="D1700" s="8">
        <v>0.89</v>
      </c>
      <c r="E1700" s="4">
        <v>1</v>
      </c>
      <c r="F1700" s="8">
        <v>1.33</v>
      </c>
      <c r="G1700" s="4">
        <v>0</v>
      </c>
      <c r="H1700" s="8">
        <v>0</v>
      </c>
      <c r="I1700" s="4">
        <v>0</v>
      </c>
    </row>
    <row r="1701" spans="1:9" x14ac:dyDescent="0.2">
      <c r="A1701" s="2">
        <v>17</v>
      </c>
      <c r="B1701" s="1" t="s">
        <v>138</v>
      </c>
      <c r="C1701" s="4">
        <v>1</v>
      </c>
      <c r="D1701" s="8">
        <v>0.89</v>
      </c>
      <c r="E1701" s="4">
        <v>0</v>
      </c>
      <c r="F1701" s="8">
        <v>0</v>
      </c>
      <c r="G1701" s="4">
        <v>1</v>
      </c>
      <c r="H1701" s="8">
        <v>2.7</v>
      </c>
      <c r="I1701" s="4">
        <v>0</v>
      </c>
    </row>
    <row r="1702" spans="1:9" x14ac:dyDescent="0.2">
      <c r="A1702" s="2">
        <v>17</v>
      </c>
      <c r="B1702" s="1" t="s">
        <v>124</v>
      </c>
      <c r="C1702" s="4">
        <v>1</v>
      </c>
      <c r="D1702" s="8">
        <v>0.89</v>
      </c>
      <c r="E1702" s="4">
        <v>1</v>
      </c>
      <c r="F1702" s="8">
        <v>1.33</v>
      </c>
      <c r="G1702" s="4">
        <v>0</v>
      </c>
      <c r="H1702" s="8">
        <v>0</v>
      </c>
      <c r="I1702" s="4">
        <v>0</v>
      </c>
    </row>
    <row r="1703" spans="1:9" x14ac:dyDescent="0.2">
      <c r="A1703" s="2">
        <v>17</v>
      </c>
      <c r="B1703" s="1" t="s">
        <v>101</v>
      </c>
      <c r="C1703" s="4">
        <v>1</v>
      </c>
      <c r="D1703" s="8">
        <v>0.89</v>
      </c>
      <c r="E1703" s="4">
        <v>0</v>
      </c>
      <c r="F1703" s="8">
        <v>0</v>
      </c>
      <c r="G1703" s="4">
        <v>1</v>
      </c>
      <c r="H1703" s="8">
        <v>2.7</v>
      </c>
      <c r="I1703" s="4">
        <v>0</v>
      </c>
    </row>
    <row r="1704" spans="1:9" x14ac:dyDescent="0.2">
      <c r="A1704" s="2">
        <v>17</v>
      </c>
      <c r="B1704" s="1" t="s">
        <v>102</v>
      </c>
      <c r="C1704" s="4">
        <v>1</v>
      </c>
      <c r="D1704" s="8">
        <v>0.89</v>
      </c>
      <c r="E1704" s="4">
        <v>0</v>
      </c>
      <c r="F1704" s="8">
        <v>0</v>
      </c>
      <c r="G1704" s="4">
        <v>1</v>
      </c>
      <c r="H1704" s="8">
        <v>2.7</v>
      </c>
      <c r="I1704" s="4">
        <v>0</v>
      </c>
    </row>
    <row r="1705" spans="1:9" x14ac:dyDescent="0.2">
      <c r="A1705" s="2">
        <v>17</v>
      </c>
      <c r="B1705" s="1" t="s">
        <v>104</v>
      </c>
      <c r="C1705" s="4">
        <v>1</v>
      </c>
      <c r="D1705" s="8">
        <v>0.89</v>
      </c>
      <c r="E1705" s="4">
        <v>1</v>
      </c>
      <c r="F1705" s="8">
        <v>1.33</v>
      </c>
      <c r="G1705" s="4">
        <v>0</v>
      </c>
      <c r="H1705" s="8">
        <v>0</v>
      </c>
      <c r="I1705" s="4">
        <v>0</v>
      </c>
    </row>
    <row r="1706" spans="1:9" x14ac:dyDescent="0.2">
      <c r="A1706" s="2">
        <v>17</v>
      </c>
      <c r="B1706" s="1" t="s">
        <v>126</v>
      </c>
      <c r="C1706" s="4">
        <v>1</v>
      </c>
      <c r="D1706" s="8">
        <v>0.89</v>
      </c>
      <c r="E1706" s="4">
        <v>0</v>
      </c>
      <c r="F1706" s="8">
        <v>0</v>
      </c>
      <c r="G1706" s="4">
        <v>1</v>
      </c>
      <c r="H1706" s="8">
        <v>2.7</v>
      </c>
      <c r="I1706" s="4">
        <v>0</v>
      </c>
    </row>
    <row r="1707" spans="1:9" x14ac:dyDescent="0.2">
      <c r="A1707" s="2">
        <v>17</v>
      </c>
      <c r="B1707" s="1" t="s">
        <v>122</v>
      </c>
      <c r="C1707" s="4">
        <v>1</v>
      </c>
      <c r="D1707" s="8">
        <v>0.89</v>
      </c>
      <c r="E1707" s="4">
        <v>0</v>
      </c>
      <c r="F1707" s="8">
        <v>0</v>
      </c>
      <c r="G1707" s="4">
        <v>1</v>
      </c>
      <c r="H1707" s="8">
        <v>2.7</v>
      </c>
      <c r="I1707" s="4">
        <v>0</v>
      </c>
    </row>
    <row r="1708" spans="1:9" x14ac:dyDescent="0.2">
      <c r="A1708" s="2">
        <v>17</v>
      </c>
      <c r="B1708" s="1" t="s">
        <v>108</v>
      </c>
      <c r="C1708" s="4">
        <v>1</v>
      </c>
      <c r="D1708" s="8">
        <v>0.89</v>
      </c>
      <c r="E1708" s="4">
        <v>0</v>
      </c>
      <c r="F1708" s="8">
        <v>0</v>
      </c>
      <c r="G1708" s="4">
        <v>1</v>
      </c>
      <c r="H1708" s="8">
        <v>2.7</v>
      </c>
      <c r="I1708" s="4">
        <v>0</v>
      </c>
    </row>
    <row r="1709" spans="1:9" x14ac:dyDescent="0.2">
      <c r="A1709" s="2">
        <v>17</v>
      </c>
      <c r="B1709" s="1" t="s">
        <v>110</v>
      </c>
      <c r="C1709" s="4">
        <v>1</v>
      </c>
      <c r="D1709" s="8">
        <v>0.89</v>
      </c>
      <c r="E1709" s="4">
        <v>1</v>
      </c>
      <c r="F1709" s="8">
        <v>1.33</v>
      </c>
      <c r="G1709" s="4">
        <v>0</v>
      </c>
      <c r="H1709" s="8">
        <v>0</v>
      </c>
      <c r="I1709" s="4">
        <v>0</v>
      </c>
    </row>
    <row r="1710" spans="1:9" x14ac:dyDescent="0.2">
      <c r="A1710" s="2">
        <v>17</v>
      </c>
      <c r="B1710" s="1" t="s">
        <v>116</v>
      </c>
      <c r="C1710" s="4">
        <v>1</v>
      </c>
      <c r="D1710" s="8">
        <v>0.89</v>
      </c>
      <c r="E1710" s="4">
        <v>0</v>
      </c>
      <c r="F1710" s="8">
        <v>0</v>
      </c>
      <c r="G1710" s="4">
        <v>1</v>
      </c>
      <c r="H1710" s="8">
        <v>2.7</v>
      </c>
      <c r="I1710" s="4">
        <v>0</v>
      </c>
    </row>
    <row r="1711" spans="1:9" x14ac:dyDescent="0.2">
      <c r="A1711" s="2">
        <v>17</v>
      </c>
      <c r="B1711" s="1" t="s">
        <v>139</v>
      </c>
      <c r="C1711" s="4">
        <v>1</v>
      </c>
      <c r="D1711" s="8">
        <v>0.89</v>
      </c>
      <c r="E1711" s="4">
        <v>1</v>
      </c>
      <c r="F1711" s="8">
        <v>1.33</v>
      </c>
      <c r="G1711" s="4">
        <v>0</v>
      </c>
      <c r="H1711" s="8">
        <v>0</v>
      </c>
      <c r="I1711" s="4">
        <v>0</v>
      </c>
    </row>
    <row r="1712" spans="1:9" x14ac:dyDescent="0.2">
      <c r="A1712" s="1"/>
      <c r="C1712" s="4"/>
      <c r="D1712" s="8"/>
      <c r="E1712" s="4"/>
      <c r="F1712" s="8"/>
      <c r="G1712" s="4"/>
      <c r="H1712" s="8"/>
      <c r="I1712" s="4"/>
    </row>
    <row r="1713" spans="1:9" x14ac:dyDescent="0.2">
      <c r="A1713" s="1" t="s">
        <v>73</v>
      </c>
      <c r="C1713" s="4"/>
      <c r="D1713" s="8"/>
      <c r="E1713" s="4"/>
      <c r="F1713" s="8"/>
      <c r="G1713" s="4"/>
      <c r="H1713" s="8"/>
      <c r="I1713" s="4"/>
    </row>
    <row r="1714" spans="1:9" x14ac:dyDescent="0.2">
      <c r="A1714" s="2">
        <v>1</v>
      </c>
      <c r="B1714" s="1" t="s">
        <v>98</v>
      </c>
      <c r="C1714" s="4">
        <v>19</v>
      </c>
      <c r="D1714" s="8">
        <v>17.12</v>
      </c>
      <c r="E1714" s="4">
        <v>8</v>
      </c>
      <c r="F1714" s="8">
        <v>12.12</v>
      </c>
      <c r="G1714" s="4">
        <v>11</v>
      </c>
      <c r="H1714" s="8">
        <v>25.58</v>
      </c>
      <c r="I1714" s="4">
        <v>0</v>
      </c>
    </row>
    <row r="1715" spans="1:9" x14ac:dyDescent="0.2">
      <c r="A1715" s="2">
        <v>2</v>
      </c>
      <c r="B1715" s="1" t="s">
        <v>105</v>
      </c>
      <c r="C1715" s="4">
        <v>14</v>
      </c>
      <c r="D1715" s="8">
        <v>12.61</v>
      </c>
      <c r="E1715" s="4">
        <v>12</v>
      </c>
      <c r="F1715" s="8">
        <v>18.18</v>
      </c>
      <c r="G1715" s="4">
        <v>2</v>
      </c>
      <c r="H1715" s="8">
        <v>4.6500000000000004</v>
      </c>
      <c r="I1715" s="4">
        <v>0</v>
      </c>
    </row>
    <row r="1716" spans="1:9" x14ac:dyDescent="0.2">
      <c r="A1716" s="2">
        <v>3</v>
      </c>
      <c r="B1716" s="1" t="s">
        <v>113</v>
      </c>
      <c r="C1716" s="4">
        <v>12</v>
      </c>
      <c r="D1716" s="8">
        <v>10.81</v>
      </c>
      <c r="E1716" s="4">
        <v>12</v>
      </c>
      <c r="F1716" s="8">
        <v>18.18</v>
      </c>
      <c r="G1716" s="4">
        <v>0</v>
      </c>
      <c r="H1716" s="8">
        <v>0</v>
      </c>
      <c r="I1716" s="4">
        <v>0</v>
      </c>
    </row>
    <row r="1717" spans="1:9" x14ac:dyDescent="0.2">
      <c r="A1717" s="2">
        <v>4</v>
      </c>
      <c r="B1717" s="1" t="s">
        <v>107</v>
      </c>
      <c r="C1717" s="4">
        <v>9</v>
      </c>
      <c r="D1717" s="8">
        <v>8.11</v>
      </c>
      <c r="E1717" s="4">
        <v>3</v>
      </c>
      <c r="F1717" s="8">
        <v>4.55</v>
      </c>
      <c r="G1717" s="4">
        <v>6</v>
      </c>
      <c r="H1717" s="8">
        <v>13.95</v>
      </c>
      <c r="I1717" s="4">
        <v>0</v>
      </c>
    </row>
    <row r="1718" spans="1:9" x14ac:dyDescent="0.2">
      <c r="A1718" s="2">
        <v>5</v>
      </c>
      <c r="B1718" s="1" t="s">
        <v>99</v>
      </c>
      <c r="C1718" s="4">
        <v>6</v>
      </c>
      <c r="D1718" s="8">
        <v>5.41</v>
      </c>
      <c r="E1718" s="4">
        <v>4</v>
      </c>
      <c r="F1718" s="8">
        <v>6.06</v>
      </c>
      <c r="G1718" s="4">
        <v>2</v>
      </c>
      <c r="H1718" s="8">
        <v>4.6500000000000004</v>
      </c>
      <c r="I1718" s="4">
        <v>0</v>
      </c>
    </row>
    <row r="1719" spans="1:9" x14ac:dyDescent="0.2">
      <c r="A1719" s="2">
        <v>6</v>
      </c>
      <c r="B1719" s="1" t="s">
        <v>106</v>
      </c>
      <c r="C1719" s="4">
        <v>5</v>
      </c>
      <c r="D1719" s="8">
        <v>4.5</v>
      </c>
      <c r="E1719" s="4">
        <v>5</v>
      </c>
      <c r="F1719" s="8">
        <v>7.58</v>
      </c>
      <c r="G1719" s="4">
        <v>0</v>
      </c>
      <c r="H1719" s="8">
        <v>0</v>
      </c>
      <c r="I1719" s="4">
        <v>0</v>
      </c>
    </row>
    <row r="1720" spans="1:9" x14ac:dyDescent="0.2">
      <c r="A1720" s="2">
        <v>6</v>
      </c>
      <c r="B1720" s="1" t="s">
        <v>116</v>
      </c>
      <c r="C1720" s="4">
        <v>5</v>
      </c>
      <c r="D1720" s="8">
        <v>4.5</v>
      </c>
      <c r="E1720" s="4">
        <v>0</v>
      </c>
      <c r="F1720" s="8">
        <v>0</v>
      </c>
      <c r="G1720" s="4">
        <v>4</v>
      </c>
      <c r="H1720" s="8">
        <v>9.3000000000000007</v>
      </c>
      <c r="I1720" s="4">
        <v>0</v>
      </c>
    </row>
    <row r="1721" spans="1:9" x14ac:dyDescent="0.2">
      <c r="A1721" s="2">
        <v>6</v>
      </c>
      <c r="B1721" s="1" t="s">
        <v>123</v>
      </c>
      <c r="C1721" s="4">
        <v>5</v>
      </c>
      <c r="D1721" s="8">
        <v>4.5</v>
      </c>
      <c r="E1721" s="4">
        <v>5</v>
      </c>
      <c r="F1721" s="8">
        <v>7.58</v>
      </c>
      <c r="G1721" s="4">
        <v>0</v>
      </c>
      <c r="H1721" s="8">
        <v>0</v>
      </c>
      <c r="I1721" s="4">
        <v>0</v>
      </c>
    </row>
    <row r="1722" spans="1:9" x14ac:dyDescent="0.2">
      <c r="A1722" s="2">
        <v>9</v>
      </c>
      <c r="B1722" s="1" t="s">
        <v>100</v>
      </c>
      <c r="C1722" s="4">
        <v>4</v>
      </c>
      <c r="D1722" s="8">
        <v>3.6</v>
      </c>
      <c r="E1722" s="4">
        <v>2</v>
      </c>
      <c r="F1722" s="8">
        <v>3.03</v>
      </c>
      <c r="G1722" s="4">
        <v>2</v>
      </c>
      <c r="H1722" s="8">
        <v>4.6500000000000004</v>
      </c>
      <c r="I1722" s="4">
        <v>0</v>
      </c>
    </row>
    <row r="1723" spans="1:9" x14ac:dyDescent="0.2">
      <c r="A1723" s="2">
        <v>10</v>
      </c>
      <c r="B1723" s="1" t="s">
        <v>103</v>
      </c>
      <c r="C1723" s="4">
        <v>3</v>
      </c>
      <c r="D1723" s="8">
        <v>2.7</v>
      </c>
      <c r="E1723" s="4">
        <v>1</v>
      </c>
      <c r="F1723" s="8">
        <v>1.52</v>
      </c>
      <c r="G1723" s="4">
        <v>2</v>
      </c>
      <c r="H1723" s="8">
        <v>4.6500000000000004</v>
      </c>
      <c r="I1723" s="4">
        <v>0</v>
      </c>
    </row>
    <row r="1724" spans="1:9" x14ac:dyDescent="0.2">
      <c r="A1724" s="2">
        <v>10</v>
      </c>
      <c r="B1724" s="1" t="s">
        <v>104</v>
      </c>
      <c r="C1724" s="4">
        <v>3</v>
      </c>
      <c r="D1724" s="8">
        <v>2.7</v>
      </c>
      <c r="E1724" s="4">
        <v>3</v>
      </c>
      <c r="F1724" s="8">
        <v>4.55</v>
      </c>
      <c r="G1724" s="4">
        <v>0</v>
      </c>
      <c r="H1724" s="8">
        <v>0</v>
      </c>
      <c r="I1724" s="4">
        <v>0</v>
      </c>
    </row>
    <row r="1725" spans="1:9" x14ac:dyDescent="0.2">
      <c r="A1725" s="2">
        <v>10</v>
      </c>
      <c r="B1725" s="1" t="s">
        <v>112</v>
      </c>
      <c r="C1725" s="4">
        <v>3</v>
      </c>
      <c r="D1725" s="8">
        <v>2.7</v>
      </c>
      <c r="E1725" s="4">
        <v>2</v>
      </c>
      <c r="F1725" s="8">
        <v>3.03</v>
      </c>
      <c r="G1725" s="4">
        <v>1</v>
      </c>
      <c r="H1725" s="8">
        <v>2.33</v>
      </c>
      <c r="I1725" s="4">
        <v>0</v>
      </c>
    </row>
    <row r="1726" spans="1:9" x14ac:dyDescent="0.2">
      <c r="A1726" s="2">
        <v>10</v>
      </c>
      <c r="B1726" s="1" t="s">
        <v>139</v>
      </c>
      <c r="C1726" s="4">
        <v>3</v>
      </c>
      <c r="D1726" s="8">
        <v>2.7</v>
      </c>
      <c r="E1726" s="4">
        <v>3</v>
      </c>
      <c r="F1726" s="8">
        <v>4.55</v>
      </c>
      <c r="G1726" s="4">
        <v>0</v>
      </c>
      <c r="H1726" s="8">
        <v>0</v>
      </c>
      <c r="I1726" s="4">
        <v>0</v>
      </c>
    </row>
    <row r="1727" spans="1:9" x14ac:dyDescent="0.2">
      <c r="A1727" s="2">
        <v>14</v>
      </c>
      <c r="B1727" s="1" t="s">
        <v>108</v>
      </c>
      <c r="C1727" s="4">
        <v>2</v>
      </c>
      <c r="D1727" s="8">
        <v>1.8</v>
      </c>
      <c r="E1727" s="4">
        <v>1</v>
      </c>
      <c r="F1727" s="8">
        <v>1.52</v>
      </c>
      <c r="G1727" s="4">
        <v>1</v>
      </c>
      <c r="H1727" s="8">
        <v>2.33</v>
      </c>
      <c r="I1727" s="4">
        <v>0</v>
      </c>
    </row>
    <row r="1728" spans="1:9" x14ac:dyDescent="0.2">
      <c r="A1728" s="2">
        <v>14</v>
      </c>
      <c r="B1728" s="1" t="s">
        <v>140</v>
      </c>
      <c r="C1728" s="4">
        <v>2</v>
      </c>
      <c r="D1728" s="8">
        <v>1.8</v>
      </c>
      <c r="E1728" s="4">
        <v>0</v>
      </c>
      <c r="F1728" s="8">
        <v>0</v>
      </c>
      <c r="G1728" s="4">
        <v>2</v>
      </c>
      <c r="H1728" s="8">
        <v>4.6500000000000004</v>
      </c>
      <c r="I1728" s="4">
        <v>0</v>
      </c>
    </row>
    <row r="1729" spans="1:9" x14ac:dyDescent="0.2">
      <c r="A1729" s="2">
        <v>16</v>
      </c>
      <c r="B1729" s="1" t="s">
        <v>130</v>
      </c>
      <c r="C1729" s="4">
        <v>1</v>
      </c>
      <c r="D1729" s="8">
        <v>0.9</v>
      </c>
      <c r="E1729" s="4">
        <v>0</v>
      </c>
      <c r="F1729" s="8">
        <v>0</v>
      </c>
      <c r="G1729" s="4">
        <v>1</v>
      </c>
      <c r="H1729" s="8">
        <v>2.33</v>
      </c>
      <c r="I1729" s="4">
        <v>0</v>
      </c>
    </row>
    <row r="1730" spans="1:9" x14ac:dyDescent="0.2">
      <c r="A1730" s="2">
        <v>16</v>
      </c>
      <c r="B1730" s="1" t="s">
        <v>135</v>
      </c>
      <c r="C1730" s="4">
        <v>1</v>
      </c>
      <c r="D1730" s="8">
        <v>0.9</v>
      </c>
      <c r="E1730" s="4">
        <v>0</v>
      </c>
      <c r="F1730" s="8">
        <v>0</v>
      </c>
      <c r="G1730" s="4">
        <v>1</v>
      </c>
      <c r="H1730" s="8">
        <v>2.33</v>
      </c>
      <c r="I1730" s="4">
        <v>0</v>
      </c>
    </row>
    <row r="1731" spans="1:9" x14ac:dyDescent="0.2">
      <c r="A1731" s="2">
        <v>16</v>
      </c>
      <c r="B1731" s="1" t="s">
        <v>136</v>
      </c>
      <c r="C1731" s="4">
        <v>1</v>
      </c>
      <c r="D1731" s="8">
        <v>0.9</v>
      </c>
      <c r="E1731" s="4">
        <v>0</v>
      </c>
      <c r="F1731" s="8">
        <v>0</v>
      </c>
      <c r="G1731" s="4">
        <v>1</v>
      </c>
      <c r="H1731" s="8">
        <v>2.33</v>
      </c>
      <c r="I1731" s="4">
        <v>0</v>
      </c>
    </row>
    <row r="1732" spans="1:9" x14ac:dyDescent="0.2">
      <c r="A1732" s="2">
        <v>16</v>
      </c>
      <c r="B1732" s="1" t="s">
        <v>129</v>
      </c>
      <c r="C1732" s="4">
        <v>1</v>
      </c>
      <c r="D1732" s="8">
        <v>0.9</v>
      </c>
      <c r="E1732" s="4">
        <v>0</v>
      </c>
      <c r="F1732" s="8">
        <v>0</v>
      </c>
      <c r="G1732" s="4">
        <v>1</v>
      </c>
      <c r="H1732" s="8">
        <v>2.33</v>
      </c>
      <c r="I1732" s="4">
        <v>0</v>
      </c>
    </row>
    <row r="1733" spans="1:9" x14ac:dyDescent="0.2">
      <c r="A1733" s="2">
        <v>16</v>
      </c>
      <c r="B1733" s="1" t="s">
        <v>145</v>
      </c>
      <c r="C1733" s="4">
        <v>1</v>
      </c>
      <c r="D1733" s="8">
        <v>0.9</v>
      </c>
      <c r="E1733" s="4">
        <v>0</v>
      </c>
      <c r="F1733" s="8">
        <v>0</v>
      </c>
      <c r="G1733" s="4">
        <v>1</v>
      </c>
      <c r="H1733" s="8">
        <v>2.33</v>
      </c>
      <c r="I1733" s="4">
        <v>0</v>
      </c>
    </row>
    <row r="1734" spans="1:9" x14ac:dyDescent="0.2">
      <c r="A1734" s="2">
        <v>16</v>
      </c>
      <c r="B1734" s="1" t="s">
        <v>120</v>
      </c>
      <c r="C1734" s="4">
        <v>1</v>
      </c>
      <c r="D1734" s="8">
        <v>0.9</v>
      </c>
      <c r="E1734" s="4">
        <v>1</v>
      </c>
      <c r="F1734" s="8">
        <v>1.52</v>
      </c>
      <c r="G1734" s="4">
        <v>0</v>
      </c>
      <c r="H1734" s="8">
        <v>0</v>
      </c>
      <c r="I1734" s="4">
        <v>0</v>
      </c>
    </row>
    <row r="1735" spans="1:9" x14ac:dyDescent="0.2">
      <c r="A1735" s="2">
        <v>16</v>
      </c>
      <c r="B1735" s="1" t="s">
        <v>124</v>
      </c>
      <c r="C1735" s="4">
        <v>1</v>
      </c>
      <c r="D1735" s="8">
        <v>0.9</v>
      </c>
      <c r="E1735" s="4">
        <v>1</v>
      </c>
      <c r="F1735" s="8">
        <v>1.52</v>
      </c>
      <c r="G1735" s="4">
        <v>0</v>
      </c>
      <c r="H1735" s="8">
        <v>0</v>
      </c>
      <c r="I1735" s="4">
        <v>0</v>
      </c>
    </row>
    <row r="1736" spans="1:9" x14ac:dyDescent="0.2">
      <c r="A1736" s="2">
        <v>16</v>
      </c>
      <c r="B1736" s="1" t="s">
        <v>101</v>
      </c>
      <c r="C1736" s="4">
        <v>1</v>
      </c>
      <c r="D1736" s="8">
        <v>0.9</v>
      </c>
      <c r="E1736" s="4">
        <v>1</v>
      </c>
      <c r="F1736" s="8">
        <v>1.52</v>
      </c>
      <c r="G1736" s="4">
        <v>0</v>
      </c>
      <c r="H1736" s="8">
        <v>0</v>
      </c>
      <c r="I1736" s="4">
        <v>0</v>
      </c>
    </row>
    <row r="1737" spans="1:9" x14ac:dyDescent="0.2">
      <c r="A1737" s="2">
        <v>16</v>
      </c>
      <c r="B1737" s="1" t="s">
        <v>126</v>
      </c>
      <c r="C1737" s="4">
        <v>1</v>
      </c>
      <c r="D1737" s="8">
        <v>0.9</v>
      </c>
      <c r="E1737" s="4">
        <v>0</v>
      </c>
      <c r="F1737" s="8">
        <v>0</v>
      </c>
      <c r="G1737" s="4">
        <v>1</v>
      </c>
      <c r="H1737" s="8">
        <v>2.33</v>
      </c>
      <c r="I1737" s="4">
        <v>0</v>
      </c>
    </row>
    <row r="1738" spans="1:9" x14ac:dyDescent="0.2">
      <c r="A1738" s="2">
        <v>16</v>
      </c>
      <c r="B1738" s="1" t="s">
        <v>111</v>
      </c>
      <c r="C1738" s="4">
        <v>1</v>
      </c>
      <c r="D1738" s="8">
        <v>0.9</v>
      </c>
      <c r="E1738" s="4">
        <v>0</v>
      </c>
      <c r="F1738" s="8">
        <v>0</v>
      </c>
      <c r="G1738" s="4">
        <v>1</v>
      </c>
      <c r="H1738" s="8">
        <v>2.33</v>
      </c>
      <c r="I1738" s="4">
        <v>0</v>
      </c>
    </row>
    <row r="1739" spans="1:9" x14ac:dyDescent="0.2">
      <c r="A1739" s="2">
        <v>16</v>
      </c>
      <c r="B1739" s="1" t="s">
        <v>151</v>
      </c>
      <c r="C1739" s="4">
        <v>1</v>
      </c>
      <c r="D1739" s="8">
        <v>0.9</v>
      </c>
      <c r="E1739" s="4">
        <v>0</v>
      </c>
      <c r="F1739" s="8">
        <v>0</v>
      </c>
      <c r="G1739" s="4">
        <v>1</v>
      </c>
      <c r="H1739" s="8">
        <v>2.33</v>
      </c>
      <c r="I1739" s="4">
        <v>0</v>
      </c>
    </row>
    <row r="1740" spans="1:9" x14ac:dyDescent="0.2">
      <c r="A1740" s="2">
        <v>16</v>
      </c>
      <c r="B1740" s="1" t="s">
        <v>121</v>
      </c>
      <c r="C1740" s="4">
        <v>1</v>
      </c>
      <c r="D1740" s="8">
        <v>0.9</v>
      </c>
      <c r="E1740" s="4">
        <v>1</v>
      </c>
      <c r="F1740" s="8">
        <v>1.52</v>
      </c>
      <c r="G1740" s="4">
        <v>0</v>
      </c>
      <c r="H1740" s="8">
        <v>0</v>
      </c>
      <c r="I1740" s="4">
        <v>0</v>
      </c>
    </row>
    <row r="1741" spans="1:9" x14ac:dyDescent="0.2">
      <c r="A1741" s="2">
        <v>16</v>
      </c>
      <c r="B1741" s="1" t="s">
        <v>115</v>
      </c>
      <c r="C1741" s="4">
        <v>1</v>
      </c>
      <c r="D1741" s="8">
        <v>0.9</v>
      </c>
      <c r="E1741" s="4">
        <v>1</v>
      </c>
      <c r="F1741" s="8">
        <v>1.52</v>
      </c>
      <c r="G1741" s="4">
        <v>0</v>
      </c>
      <c r="H1741" s="8">
        <v>0</v>
      </c>
      <c r="I1741" s="4">
        <v>0</v>
      </c>
    </row>
    <row r="1742" spans="1:9" x14ac:dyDescent="0.2">
      <c r="A1742" s="2">
        <v>16</v>
      </c>
      <c r="B1742" s="1" t="s">
        <v>147</v>
      </c>
      <c r="C1742" s="4">
        <v>1</v>
      </c>
      <c r="D1742" s="8">
        <v>0.9</v>
      </c>
      <c r="E1742" s="4">
        <v>0</v>
      </c>
      <c r="F1742" s="8">
        <v>0</v>
      </c>
      <c r="G1742" s="4">
        <v>1</v>
      </c>
      <c r="H1742" s="8">
        <v>2.33</v>
      </c>
      <c r="I1742" s="4">
        <v>0</v>
      </c>
    </row>
    <row r="1743" spans="1:9" x14ac:dyDescent="0.2">
      <c r="A1743" s="2">
        <v>16</v>
      </c>
      <c r="B1743" s="1" t="s">
        <v>117</v>
      </c>
      <c r="C1743" s="4">
        <v>1</v>
      </c>
      <c r="D1743" s="8">
        <v>0.9</v>
      </c>
      <c r="E1743" s="4">
        <v>0</v>
      </c>
      <c r="F1743" s="8">
        <v>0</v>
      </c>
      <c r="G1743" s="4">
        <v>1</v>
      </c>
      <c r="H1743" s="8">
        <v>2.33</v>
      </c>
      <c r="I1743" s="4">
        <v>0</v>
      </c>
    </row>
    <row r="1744" spans="1:9" x14ac:dyDescent="0.2">
      <c r="A1744" s="2">
        <v>16</v>
      </c>
      <c r="B1744" s="1" t="s">
        <v>149</v>
      </c>
      <c r="C1744" s="4">
        <v>1</v>
      </c>
      <c r="D1744" s="8">
        <v>0.9</v>
      </c>
      <c r="E1744" s="4">
        <v>0</v>
      </c>
      <c r="F1744" s="8">
        <v>0</v>
      </c>
      <c r="G1744" s="4">
        <v>0</v>
      </c>
      <c r="H1744" s="8">
        <v>0</v>
      </c>
      <c r="I1744" s="4">
        <v>0</v>
      </c>
    </row>
    <row r="1745" spans="1:9" x14ac:dyDescent="0.2">
      <c r="A1745" s="1"/>
      <c r="C1745" s="4"/>
      <c r="D1745" s="8"/>
      <c r="E1745" s="4"/>
      <c r="F1745" s="8"/>
      <c r="G1745" s="4"/>
      <c r="H1745" s="8"/>
      <c r="I1745" s="4"/>
    </row>
    <row r="1746" spans="1:9" x14ac:dyDescent="0.2">
      <c r="A1746" s="1" t="s">
        <v>74</v>
      </c>
      <c r="C1746" s="4"/>
      <c r="D1746" s="8"/>
      <c r="E1746" s="4"/>
      <c r="F1746" s="8"/>
      <c r="G1746" s="4"/>
      <c r="H1746" s="8"/>
      <c r="I1746" s="4"/>
    </row>
    <row r="1747" spans="1:9" x14ac:dyDescent="0.2">
      <c r="A1747" s="2">
        <v>1</v>
      </c>
      <c r="B1747" s="1" t="s">
        <v>98</v>
      </c>
      <c r="C1747" s="4">
        <v>67</v>
      </c>
      <c r="D1747" s="8">
        <v>17.91</v>
      </c>
      <c r="E1747" s="4">
        <v>22</v>
      </c>
      <c r="F1747" s="8">
        <v>9.57</v>
      </c>
      <c r="G1747" s="4">
        <v>45</v>
      </c>
      <c r="H1747" s="8">
        <v>33.83</v>
      </c>
      <c r="I1747" s="4">
        <v>0</v>
      </c>
    </row>
    <row r="1748" spans="1:9" x14ac:dyDescent="0.2">
      <c r="A1748" s="2">
        <v>2</v>
      </c>
      <c r="B1748" s="1" t="s">
        <v>113</v>
      </c>
      <c r="C1748" s="4">
        <v>43</v>
      </c>
      <c r="D1748" s="8">
        <v>11.5</v>
      </c>
      <c r="E1748" s="4">
        <v>37</v>
      </c>
      <c r="F1748" s="8">
        <v>16.09</v>
      </c>
      <c r="G1748" s="4">
        <v>6</v>
      </c>
      <c r="H1748" s="8">
        <v>4.51</v>
      </c>
      <c r="I1748" s="4">
        <v>0</v>
      </c>
    </row>
    <row r="1749" spans="1:9" x14ac:dyDescent="0.2">
      <c r="A1749" s="2">
        <v>3</v>
      </c>
      <c r="B1749" s="1" t="s">
        <v>112</v>
      </c>
      <c r="C1749" s="4">
        <v>34</v>
      </c>
      <c r="D1749" s="8">
        <v>9.09</v>
      </c>
      <c r="E1749" s="4">
        <v>34</v>
      </c>
      <c r="F1749" s="8">
        <v>14.78</v>
      </c>
      <c r="G1749" s="4">
        <v>0</v>
      </c>
      <c r="H1749" s="8">
        <v>0</v>
      </c>
      <c r="I1749" s="4">
        <v>0</v>
      </c>
    </row>
    <row r="1750" spans="1:9" x14ac:dyDescent="0.2">
      <c r="A1750" s="2">
        <v>4</v>
      </c>
      <c r="B1750" s="1" t="s">
        <v>105</v>
      </c>
      <c r="C1750" s="4">
        <v>30</v>
      </c>
      <c r="D1750" s="8">
        <v>8.02</v>
      </c>
      <c r="E1750" s="4">
        <v>27</v>
      </c>
      <c r="F1750" s="8">
        <v>11.74</v>
      </c>
      <c r="G1750" s="4">
        <v>2</v>
      </c>
      <c r="H1750" s="8">
        <v>1.5</v>
      </c>
      <c r="I1750" s="4">
        <v>1</v>
      </c>
    </row>
    <row r="1751" spans="1:9" x14ac:dyDescent="0.2">
      <c r="A1751" s="2">
        <v>4</v>
      </c>
      <c r="B1751" s="1" t="s">
        <v>107</v>
      </c>
      <c r="C1751" s="4">
        <v>30</v>
      </c>
      <c r="D1751" s="8">
        <v>8.02</v>
      </c>
      <c r="E1751" s="4">
        <v>19</v>
      </c>
      <c r="F1751" s="8">
        <v>8.26</v>
      </c>
      <c r="G1751" s="4">
        <v>11</v>
      </c>
      <c r="H1751" s="8">
        <v>8.27</v>
      </c>
      <c r="I1751" s="4">
        <v>0</v>
      </c>
    </row>
    <row r="1752" spans="1:9" x14ac:dyDescent="0.2">
      <c r="A1752" s="2">
        <v>6</v>
      </c>
      <c r="B1752" s="1" t="s">
        <v>99</v>
      </c>
      <c r="C1752" s="4">
        <v>17</v>
      </c>
      <c r="D1752" s="8">
        <v>4.55</v>
      </c>
      <c r="E1752" s="4">
        <v>11</v>
      </c>
      <c r="F1752" s="8">
        <v>4.78</v>
      </c>
      <c r="G1752" s="4">
        <v>6</v>
      </c>
      <c r="H1752" s="8">
        <v>4.51</v>
      </c>
      <c r="I1752" s="4">
        <v>0</v>
      </c>
    </row>
    <row r="1753" spans="1:9" x14ac:dyDescent="0.2">
      <c r="A1753" s="2">
        <v>7</v>
      </c>
      <c r="B1753" s="1" t="s">
        <v>115</v>
      </c>
      <c r="C1753" s="4">
        <v>15</v>
      </c>
      <c r="D1753" s="8">
        <v>4.01</v>
      </c>
      <c r="E1753" s="4">
        <v>15</v>
      </c>
      <c r="F1753" s="8">
        <v>6.52</v>
      </c>
      <c r="G1753" s="4">
        <v>0</v>
      </c>
      <c r="H1753" s="8">
        <v>0</v>
      </c>
      <c r="I1753" s="4">
        <v>0</v>
      </c>
    </row>
    <row r="1754" spans="1:9" x14ac:dyDescent="0.2">
      <c r="A1754" s="2">
        <v>8</v>
      </c>
      <c r="B1754" s="1" t="s">
        <v>114</v>
      </c>
      <c r="C1754" s="4">
        <v>14</v>
      </c>
      <c r="D1754" s="8">
        <v>3.74</v>
      </c>
      <c r="E1754" s="4">
        <v>10</v>
      </c>
      <c r="F1754" s="8">
        <v>4.3499999999999996</v>
      </c>
      <c r="G1754" s="4">
        <v>1</v>
      </c>
      <c r="H1754" s="8">
        <v>0.75</v>
      </c>
      <c r="I1754" s="4">
        <v>1</v>
      </c>
    </row>
    <row r="1755" spans="1:9" x14ac:dyDescent="0.2">
      <c r="A1755" s="2">
        <v>9</v>
      </c>
      <c r="B1755" s="1" t="s">
        <v>106</v>
      </c>
      <c r="C1755" s="4">
        <v>12</v>
      </c>
      <c r="D1755" s="8">
        <v>3.21</v>
      </c>
      <c r="E1755" s="4">
        <v>8</v>
      </c>
      <c r="F1755" s="8">
        <v>3.48</v>
      </c>
      <c r="G1755" s="4">
        <v>4</v>
      </c>
      <c r="H1755" s="8">
        <v>3.01</v>
      </c>
      <c r="I1755" s="4">
        <v>0</v>
      </c>
    </row>
    <row r="1756" spans="1:9" x14ac:dyDescent="0.2">
      <c r="A1756" s="2">
        <v>10</v>
      </c>
      <c r="B1756" s="1" t="s">
        <v>100</v>
      </c>
      <c r="C1756" s="4">
        <v>10</v>
      </c>
      <c r="D1756" s="8">
        <v>2.67</v>
      </c>
      <c r="E1756" s="4">
        <v>4</v>
      </c>
      <c r="F1756" s="8">
        <v>1.74</v>
      </c>
      <c r="G1756" s="4">
        <v>6</v>
      </c>
      <c r="H1756" s="8">
        <v>4.51</v>
      </c>
      <c r="I1756" s="4">
        <v>0</v>
      </c>
    </row>
    <row r="1757" spans="1:9" x14ac:dyDescent="0.2">
      <c r="A1757" s="2">
        <v>10</v>
      </c>
      <c r="B1757" s="1" t="s">
        <v>109</v>
      </c>
      <c r="C1757" s="4">
        <v>10</v>
      </c>
      <c r="D1757" s="8">
        <v>2.67</v>
      </c>
      <c r="E1757" s="4">
        <v>4</v>
      </c>
      <c r="F1757" s="8">
        <v>1.74</v>
      </c>
      <c r="G1757" s="4">
        <v>5</v>
      </c>
      <c r="H1757" s="8">
        <v>3.76</v>
      </c>
      <c r="I1757" s="4">
        <v>0</v>
      </c>
    </row>
    <row r="1758" spans="1:9" x14ac:dyDescent="0.2">
      <c r="A1758" s="2">
        <v>12</v>
      </c>
      <c r="B1758" s="1" t="s">
        <v>116</v>
      </c>
      <c r="C1758" s="4">
        <v>9</v>
      </c>
      <c r="D1758" s="8">
        <v>2.41</v>
      </c>
      <c r="E1758" s="4">
        <v>0</v>
      </c>
      <c r="F1758" s="8">
        <v>0</v>
      </c>
      <c r="G1758" s="4">
        <v>7</v>
      </c>
      <c r="H1758" s="8">
        <v>5.26</v>
      </c>
      <c r="I1758" s="4">
        <v>0</v>
      </c>
    </row>
    <row r="1759" spans="1:9" x14ac:dyDescent="0.2">
      <c r="A1759" s="2">
        <v>13</v>
      </c>
      <c r="B1759" s="1" t="s">
        <v>123</v>
      </c>
      <c r="C1759" s="4">
        <v>8</v>
      </c>
      <c r="D1759" s="8">
        <v>2.14</v>
      </c>
      <c r="E1759" s="4">
        <v>8</v>
      </c>
      <c r="F1759" s="8">
        <v>3.48</v>
      </c>
      <c r="G1759" s="4">
        <v>0</v>
      </c>
      <c r="H1759" s="8">
        <v>0</v>
      </c>
      <c r="I1759" s="4">
        <v>0</v>
      </c>
    </row>
    <row r="1760" spans="1:9" x14ac:dyDescent="0.2">
      <c r="A1760" s="2">
        <v>14</v>
      </c>
      <c r="B1760" s="1" t="s">
        <v>101</v>
      </c>
      <c r="C1760" s="4">
        <v>7</v>
      </c>
      <c r="D1760" s="8">
        <v>1.87</v>
      </c>
      <c r="E1760" s="4">
        <v>3</v>
      </c>
      <c r="F1760" s="8">
        <v>1.3</v>
      </c>
      <c r="G1760" s="4">
        <v>4</v>
      </c>
      <c r="H1760" s="8">
        <v>3.01</v>
      </c>
      <c r="I1760" s="4">
        <v>0</v>
      </c>
    </row>
    <row r="1761" spans="1:9" x14ac:dyDescent="0.2">
      <c r="A1761" s="2">
        <v>14</v>
      </c>
      <c r="B1761" s="1" t="s">
        <v>111</v>
      </c>
      <c r="C1761" s="4">
        <v>7</v>
      </c>
      <c r="D1761" s="8">
        <v>1.87</v>
      </c>
      <c r="E1761" s="4">
        <v>2</v>
      </c>
      <c r="F1761" s="8">
        <v>0.87</v>
      </c>
      <c r="G1761" s="4">
        <v>5</v>
      </c>
      <c r="H1761" s="8">
        <v>3.76</v>
      </c>
      <c r="I1761" s="4">
        <v>0</v>
      </c>
    </row>
    <row r="1762" spans="1:9" x14ac:dyDescent="0.2">
      <c r="A1762" s="2">
        <v>16</v>
      </c>
      <c r="B1762" s="1" t="s">
        <v>130</v>
      </c>
      <c r="C1762" s="4">
        <v>6</v>
      </c>
      <c r="D1762" s="8">
        <v>1.6</v>
      </c>
      <c r="E1762" s="4">
        <v>4</v>
      </c>
      <c r="F1762" s="8">
        <v>1.74</v>
      </c>
      <c r="G1762" s="4">
        <v>2</v>
      </c>
      <c r="H1762" s="8">
        <v>1.5</v>
      </c>
      <c r="I1762" s="4">
        <v>0</v>
      </c>
    </row>
    <row r="1763" spans="1:9" x14ac:dyDescent="0.2">
      <c r="A1763" s="2">
        <v>17</v>
      </c>
      <c r="B1763" s="1" t="s">
        <v>104</v>
      </c>
      <c r="C1763" s="4">
        <v>4</v>
      </c>
      <c r="D1763" s="8">
        <v>1.07</v>
      </c>
      <c r="E1763" s="4">
        <v>2</v>
      </c>
      <c r="F1763" s="8">
        <v>0.87</v>
      </c>
      <c r="G1763" s="4">
        <v>2</v>
      </c>
      <c r="H1763" s="8">
        <v>1.5</v>
      </c>
      <c r="I1763" s="4">
        <v>0</v>
      </c>
    </row>
    <row r="1764" spans="1:9" x14ac:dyDescent="0.2">
      <c r="A1764" s="2">
        <v>17</v>
      </c>
      <c r="B1764" s="1" t="s">
        <v>121</v>
      </c>
      <c r="C1764" s="4">
        <v>4</v>
      </c>
      <c r="D1764" s="8">
        <v>1.07</v>
      </c>
      <c r="E1764" s="4">
        <v>2</v>
      </c>
      <c r="F1764" s="8">
        <v>0.87</v>
      </c>
      <c r="G1764" s="4">
        <v>2</v>
      </c>
      <c r="H1764" s="8">
        <v>1.5</v>
      </c>
      <c r="I1764" s="4">
        <v>0</v>
      </c>
    </row>
    <row r="1765" spans="1:9" x14ac:dyDescent="0.2">
      <c r="A1765" s="2">
        <v>17</v>
      </c>
      <c r="B1765" s="1" t="s">
        <v>118</v>
      </c>
      <c r="C1765" s="4">
        <v>4</v>
      </c>
      <c r="D1765" s="8">
        <v>1.07</v>
      </c>
      <c r="E1765" s="4">
        <v>2</v>
      </c>
      <c r="F1765" s="8">
        <v>0.87</v>
      </c>
      <c r="G1765" s="4">
        <v>1</v>
      </c>
      <c r="H1765" s="8">
        <v>0.75</v>
      </c>
      <c r="I1765" s="4">
        <v>0</v>
      </c>
    </row>
    <row r="1766" spans="1:9" x14ac:dyDescent="0.2">
      <c r="A1766" s="2">
        <v>20</v>
      </c>
      <c r="B1766" s="1" t="s">
        <v>142</v>
      </c>
      <c r="C1766" s="4">
        <v>3</v>
      </c>
      <c r="D1766" s="8">
        <v>0.8</v>
      </c>
      <c r="E1766" s="4">
        <v>2</v>
      </c>
      <c r="F1766" s="8">
        <v>0.87</v>
      </c>
      <c r="G1766" s="4">
        <v>1</v>
      </c>
      <c r="H1766" s="8">
        <v>0.75</v>
      </c>
      <c r="I1766" s="4">
        <v>0</v>
      </c>
    </row>
    <row r="1767" spans="1:9" x14ac:dyDescent="0.2">
      <c r="A1767" s="2">
        <v>20</v>
      </c>
      <c r="B1767" s="1" t="s">
        <v>137</v>
      </c>
      <c r="C1767" s="4">
        <v>3</v>
      </c>
      <c r="D1767" s="8">
        <v>0.8</v>
      </c>
      <c r="E1767" s="4">
        <v>2</v>
      </c>
      <c r="F1767" s="8">
        <v>0.87</v>
      </c>
      <c r="G1767" s="4">
        <v>1</v>
      </c>
      <c r="H1767" s="8">
        <v>0.75</v>
      </c>
      <c r="I1767" s="4">
        <v>0</v>
      </c>
    </row>
    <row r="1768" spans="1:9" x14ac:dyDescent="0.2">
      <c r="A1768" s="2">
        <v>20</v>
      </c>
      <c r="B1768" s="1" t="s">
        <v>124</v>
      </c>
      <c r="C1768" s="4">
        <v>3</v>
      </c>
      <c r="D1768" s="8">
        <v>0.8</v>
      </c>
      <c r="E1768" s="4">
        <v>1</v>
      </c>
      <c r="F1768" s="8">
        <v>0.43</v>
      </c>
      <c r="G1768" s="4">
        <v>2</v>
      </c>
      <c r="H1768" s="8">
        <v>1.5</v>
      </c>
      <c r="I1768" s="4">
        <v>0</v>
      </c>
    </row>
    <row r="1769" spans="1:9" x14ac:dyDescent="0.2">
      <c r="A1769" s="2">
        <v>20</v>
      </c>
      <c r="B1769" s="1" t="s">
        <v>103</v>
      </c>
      <c r="C1769" s="4">
        <v>3</v>
      </c>
      <c r="D1769" s="8">
        <v>0.8</v>
      </c>
      <c r="E1769" s="4">
        <v>0</v>
      </c>
      <c r="F1769" s="8">
        <v>0</v>
      </c>
      <c r="G1769" s="4">
        <v>3</v>
      </c>
      <c r="H1769" s="8">
        <v>2.2599999999999998</v>
      </c>
      <c r="I1769" s="4">
        <v>0</v>
      </c>
    </row>
    <row r="1770" spans="1:9" x14ac:dyDescent="0.2">
      <c r="A1770" s="2">
        <v>20</v>
      </c>
      <c r="B1770" s="1" t="s">
        <v>140</v>
      </c>
      <c r="C1770" s="4">
        <v>3</v>
      </c>
      <c r="D1770" s="8">
        <v>0.8</v>
      </c>
      <c r="E1770" s="4">
        <v>1</v>
      </c>
      <c r="F1770" s="8">
        <v>0.43</v>
      </c>
      <c r="G1770" s="4">
        <v>2</v>
      </c>
      <c r="H1770" s="8">
        <v>1.5</v>
      </c>
      <c r="I1770" s="4">
        <v>0</v>
      </c>
    </row>
    <row r="1771" spans="1:9" x14ac:dyDescent="0.2">
      <c r="A1771" s="2">
        <v>20</v>
      </c>
      <c r="B1771" s="1" t="s">
        <v>127</v>
      </c>
      <c r="C1771" s="4">
        <v>3</v>
      </c>
      <c r="D1771" s="8">
        <v>0.8</v>
      </c>
      <c r="E1771" s="4">
        <v>1</v>
      </c>
      <c r="F1771" s="8">
        <v>0.43</v>
      </c>
      <c r="G1771" s="4">
        <v>1</v>
      </c>
      <c r="H1771" s="8">
        <v>0.75</v>
      </c>
      <c r="I1771" s="4">
        <v>0</v>
      </c>
    </row>
    <row r="1772" spans="1:9" x14ac:dyDescent="0.2">
      <c r="A1772" s="2">
        <v>20</v>
      </c>
      <c r="B1772" s="1" t="s">
        <v>147</v>
      </c>
      <c r="C1772" s="4">
        <v>3</v>
      </c>
      <c r="D1772" s="8">
        <v>0.8</v>
      </c>
      <c r="E1772" s="4">
        <v>1</v>
      </c>
      <c r="F1772" s="8">
        <v>0.43</v>
      </c>
      <c r="G1772" s="4">
        <v>0</v>
      </c>
      <c r="H1772" s="8">
        <v>0</v>
      </c>
      <c r="I1772" s="4">
        <v>0</v>
      </c>
    </row>
    <row r="1773" spans="1:9" x14ac:dyDescent="0.2">
      <c r="A1773" s="1"/>
      <c r="C1773" s="4"/>
      <c r="D1773" s="8"/>
      <c r="E1773" s="4"/>
      <c r="F1773" s="8"/>
      <c r="G1773" s="4"/>
      <c r="H1773" s="8"/>
      <c r="I1773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AA54E-8BA5-47E7-A4A3-D891FBF5CD9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313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114</v>
      </c>
      <c r="D6" s="8">
        <v>7.85</v>
      </c>
      <c r="E6" s="12">
        <v>62</v>
      </c>
      <c r="F6" s="8">
        <v>6.56</v>
      </c>
      <c r="G6" s="12">
        <v>52</v>
      </c>
      <c r="H6" s="8">
        <v>10.4</v>
      </c>
      <c r="I6" s="12">
        <v>0</v>
      </c>
    </row>
    <row r="7" spans="2:9" ht="15" customHeight="1" x14ac:dyDescent="0.2">
      <c r="B7" t="s">
        <v>77</v>
      </c>
      <c r="C7" s="12">
        <v>475</v>
      </c>
      <c r="D7" s="8">
        <v>32.69</v>
      </c>
      <c r="E7" s="12">
        <v>346</v>
      </c>
      <c r="F7" s="8">
        <v>36.61</v>
      </c>
      <c r="G7" s="12">
        <v>129</v>
      </c>
      <c r="H7" s="8">
        <v>25.8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7.0000000000000007E-2</v>
      </c>
      <c r="E8" s="12">
        <v>0</v>
      </c>
      <c r="F8" s="8">
        <v>0</v>
      </c>
      <c r="G8" s="12">
        <v>1</v>
      </c>
      <c r="H8" s="8">
        <v>0.2</v>
      </c>
      <c r="I8" s="12">
        <v>0</v>
      </c>
    </row>
    <row r="9" spans="2:9" ht="15" customHeight="1" x14ac:dyDescent="0.2">
      <c r="B9" t="s">
        <v>79</v>
      </c>
      <c r="C9" s="12">
        <v>3</v>
      </c>
      <c r="D9" s="8">
        <v>0.21</v>
      </c>
      <c r="E9" s="12">
        <v>0</v>
      </c>
      <c r="F9" s="8">
        <v>0</v>
      </c>
      <c r="G9" s="12">
        <v>3</v>
      </c>
      <c r="H9" s="8">
        <v>0.6</v>
      </c>
      <c r="I9" s="12">
        <v>0</v>
      </c>
    </row>
    <row r="10" spans="2:9" ht="15" customHeight="1" x14ac:dyDescent="0.2">
      <c r="B10" t="s">
        <v>80</v>
      </c>
      <c r="C10" s="12">
        <v>6</v>
      </c>
      <c r="D10" s="8">
        <v>0.41</v>
      </c>
      <c r="E10" s="12">
        <v>0</v>
      </c>
      <c r="F10" s="8">
        <v>0</v>
      </c>
      <c r="G10" s="12">
        <v>6</v>
      </c>
      <c r="H10" s="8">
        <v>1.2</v>
      </c>
      <c r="I10" s="12">
        <v>0</v>
      </c>
    </row>
    <row r="11" spans="2:9" ht="15" customHeight="1" x14ac:dyDescent="0.2">
      <c r="B11" t="s">
        <v>81</v>
      </c>
      <c r="C11" s="12">
        <v>379</v>
      </c>
      <c r="D11" s="8">
        <v>26.08</v>
      </c>
      <c r="E11" s="12">
        <v>214</v>
      </c>
      <c r="F11" s="8">
        <v>22.65</v>
      </c>
      <c r="G11" s="12">
        <v>165</v>
      </c>
      <c r="H11" s="8">
        <v>33</v>
      </c>
      <c r="I11" s="12">
        <v>0</v>
      </c>
    </row>
    <row r="12" spans="2:9" ht="15" customHeight="1" x14ac:dyDescent="0.2">
      <c r="B12" t="s">
        <v>82</v>
      </c>
      <c r="C12" s="12">
        <v>6</v>
      </c>
      <c r="D12" s="8">
        <v>0.41</v>
      </c>
      <c r="E12" s="12">
        <v>0</v>
      </c>
      <c r="F12" s="8">
        <v>0</v>
      </c>
      <c r="G12" s="12">
        <v>6</v>
      </c>
      <c r="H12" s="8">
        <v>1.2</v>
      </c>
      <c r="I12" s="12">
        <v>0</v>
      </c>
    </row>
    <row r="13" spans="2:9" ht="15" customHeight="1" x14ac:dyDescent="0.2">
      <c r="B13" t="s">
        <v>83</v>
      </c>
      <c r="C13" s="12">
        <v>81</v>
      </c>
      <c r="D13" s="8">
        <v>5.57</v>
      </c>
      <c r="E13" s="12">
        <v>30</v>
      </c>
      <c r="F13" s="8">
        <v>3.17</v>
      </c>
      <c r="G13" s="12">
        <v>51</v>
      </c>
      <c r="H13" s="8">
        <v>10.199999999999999</v>
      </c>
      <c r="I13" s="12">
        <v>0</v>
      </c>
    </row>
    <row r="14" spans="2:9" ht="15" customHeight="1" x14ac:dyDescent="0.2">
      <c r="B14" t="s">
        <v>84</v>
      </c>
      <c r="C14" s="12">
        <v>46</v>
      </c>
      <c r="D14" s="8">
        <v>3.17</v>
      </c>
      <c r="E14" s="12">
        <v>24</v>
      </c>
      <c r="F14" s="8">
        <v>2.54</v>
      </c>
      <c r="G14" s="12">
        <v>21</v>
      </c>
      <c r="H14" s="8">
        <v>4.2</v>
      </c>
      <c r="I14" s="12">
        <v>0</v>
      </c>
    </row>
    <row r="15" spans="2:9" ht="15" customHeight="1" x14ac:dyDescent="0.2">
      <c r="B15" t="s">
        <v>85</v>
      </c>
      <c r="C15" s="12">
        <v>112</v>
      </c>
      <c r="D15" s="8">
        <v>7.71</v>
      </c>
      <c r="E15" s="12">
        <v>98</v>
      </c>
      <c r="F15" s="8">
        <v>10.37</v>
      </c>
      <c r="G15" s="12">
        <v>13</v>
      </c>
      <c r="H15" s="8">
        <v>2.6</v>
      </c>
      <c r="I15" s="12">
        <v>0</v>
      </c>
    </row>
    <row r="16" spans="2:9" ht="15" customHeight="1" x14ac:dyDescent="0.2">
      <c r="B16" t="s">
        <v>86</v>
      </c>
      <c r="C16" s="12">
        <v>117</v>
      </c>
      <c r="D16" s="8">
        <v>8.0500000000000007</v>
      </c>
      <c r="E16" s="12">
        <v>95</v>
      </c>
      <c r="F16" s="8">
        <v>10.050000000000001</v>
      </c>
      <c r="G16" s="12">
        <v>22</v>
      </c>
      <c r="H16" s="8">
        <v>4.4000000000000004</v>
      </c>
      <c r="I16" s="12">
        <v>0</v>
      </c>
    </row>
    <row r="17" spans="2:9" ht="15" customHeight="1" x14ac:dyDescent="0.2">
      <c r="B17" t="s">
        <v>87</v>
      </c>
      <c r="C17" s="12">
        <v>24</v>
      </c>
      <c r="D17" s="8">
        <v>1.65</v>
      </c>
      <c r="E17" s="12">
        <v>18</v>
      </c>
      <c r="F17" s="8">
        <v>1.9</v>
      </c>
      <c r="G17" s="12">
        <v>2</v>
      </c>
      <c r="H17" s="8">
        <v>0.4</v>
      </c>
      <c r="I17" s="12">
        <v>2</v>
      </c>
    </row>
    <row r="18" spans="2:9" ht="15" customHeight="1" x14ac:dyDescent="0.2">
      <c r="B18" t="s">
        <v>88</v>
      </c>
      <c r="C18" s="12">
        <v>46</v>
      </c>
      <c r="D18" s="8">
        <v>3.17</v>
      </c>
      <c r="E18" s="12">
        <v>31</v>
      </c>
      <c r="F18" s="8">
        <v>3.28</v>
      </c>
      <c r="G18" s="12">
        <v>14</v>
      </c>
      <c r="H18" s="8">
        <v>2.8</v>
      </c>
      <c r="I18" s="12">
        <v>0</v>
      </c>
    </row>
    <row r="19" spans="2:9" ht="15" customHeight="1" x14ac:dyDescent="0.2">
      <c r="B19" t="s">
        <v>89</v>
      </c>
      <c r="C19" s="12">
        <v>43</v>
      </c>
      <c r="D19" s="8">
        <v>2.96</v>
      </c>
      <c r="E19" s="12">
        <v>27</v>
      </c>
      <c r="F19" s="8">
        <v>2.86</v>
      </c>
      <c r="G19" s="12">
        <v>15</v>
      </c>
      <c r="H19" s="8">
        <v>3</v>
      </c>
      <c r="I19" s="12">
        <v>0</v>
      </c>
    </row>
    <row r="20" spans="2:9" ht="15" customHeight="1" x14ac:dyDescent="0.2">
      <c r="B20" s="9" t="s">
        <v>285</v>
      </c>
      <c r="C20" s="12">
        <f>SUM(LTBL_40212[総数／事業所数])</f>
        <v>1453</v>
      </c>
      <c r="E20" s="12">
        <f>SUBTOTAL(109,LTBL_40212[個人／事業所数])</f>
        <v>945</v>
      </c>
      <c r="G20" s="12">
        <f>SUBTOTAL(109,LTBL_40212[法人／事業所数])</f>
        <v>500</v>
      </c>
      <c r="I20" s="12">
        <f>SUBTOTAL(109,LTBL_40212[法人以外の団体／事業所数])</f>
        <v>2</v>
      </c>
    </row>
    <row r="21" spans="2:9" ht="15" customHeight="1" x14ac:dyDescent="0.2">
      <c r="E21" s="11">
        <f>LTBL_40212[[#Totals],[個人／事業所数]]/LTBL_40212[[#Totals],[総数／事業所数]]</f>
        <v>0.65037852718513423</v>
      </c>
      <c r="G21" s="11">
        <f>LTBL_40212[[#Totals],[法人／事業所数]]/LTBL_40212[[#Totals],[総数／事業所数]]</f>
        <v>0.34411562284927738</v>
      </c>
      <c r="I21" s="11">
        <f>LTBL_40212[[#Totals],[法人以外の団体／事業所数]]/LTBL_40212[[#Totals],[総数／事業所数]]</f>
        <v>1.3764624913971094E-3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131</v>
      </c>
      <c r="C24" s="12">
        <v>299</v>
      </c>
      <c r="D24" s="8">
        <v>20.58</v>
      </c>
      <c r="E24" s="12">
        <v>247</v>
      </c>
      <c r="F24" s="8">
        <v>26.14</v>
      </c>
      <c r="G24" s="12">
        <v>52</v>
      </c>
      <c r="H24" s="8">
        <v>10.4</v>
      </c>
      <c r="I24" s="12">
        <v>0</v>
      </c>
    </row>
    <row r="25" spans="2:9" ht="15" customHeight="1" x14ac:dyDescent="0.2">
      <c r="B25" t="s">
        <v>112</v>
      </c>
      <c r="C25" s="12">
        <v>98</v>
      </c>
      <c r="D25" s="8">
        <v>6.74</v>
      </c>
      <c r="E25" s="12">
        <v>91</v>
      </c>
      <c r="F25" s="8">
        <v>9.6300000000000008</v>
      </c>
      <c r="G25" s="12">
        <v>7</v>
      </c>
      <c r="H25" s="8">
        <v>1.4</v>
      </c>
      <c r="I25" s="12">
        <v>0</v>
      </c>
    </row>
    <row r="26" spans="2:9" ht="15" customHeight="1" x14ac:dyDescent="0.2">
      <c r="B26" t="s">
        <v>107</v>
      </c>
      <c r="C26" s="12">
        <v>97</v>
      </c>
      <c r="D26" s="8">
        <v>6.68</v>
      </c>
      <c r="E26" s="12">
        <v>57</v>
      </c>
      <c r="F26" s="8">
        <v>6.03</v>
      </c>
      <c r="G26" s="12">
        <v>40</v>
      </c>
      <c r="H26" s="8">
        <v>8</v>
      </c>
      <c r="I26" s="12">
        <v>0</v>
      </c>
    </row>
    <row r="27" spans="2:9" ht="15" customHeight="1" x14ac:dyDescent="0.2">
      <c r="B27" t="s">
        <v>113</v>
      </c>
      <c r="C27" s="12">
        <v>95</v>
      </c>
      <c r="D27" s="8">
        <v>6.54</v>
      </c>
      <c r="E27" s="12">
        <v>85</v>
      </c>
      <c r="F27" s="8">
        <v>8.99</v>
      </c>
      <c r="G27" s="12">
        <v>10</v>
      </c>
      <c r="H27" s="8">
        <v>2</v>
      </c>
      <c r="I27" s="12">
        <v>0</v>
      </c>
    </row>
    <row r="28" spans="2:9" ht="15" customHeight="1" x14ac:dyDescent="0.2">
      <c r="B28" t="s">
        <v>135</v>
      </c>
      <c r="C28" s="12">
        <v>79</v>
      </c>
      <c r="D28" s="8">
        <v>5.44</v>
      </c>
      <c r="E28" s="12">
        <v>41</v>
      </c>
      <c r="F28" s="8">
        <v>4.34</v>
      </c>
      <c r="G28" s="12">
        <v>38</v>
      </c>
      <c r="H28" s="8">
        <v>7.6</v>
      </c>
      <c r="I28" s="12">
        <v>0</v>
      </c>
    </row>
    <row r="29" spans="2:9" ht="15" customHeight="1" x14ac:dyDescent="0.2">
      <c r="B29" t="s">
        <v>109</v>
      </c>
      <c r="C29" s="12">
        <v>73</v>
      </c>
      <c r="D29" s="8">
        <v>5.0199999999999996</v>
      </c>
      <c r="E29" s="12">
        <v>27</v>
      </c>
      <c r="F29" s="8">
        <v>2.86</v>
      </c>
      <c r="G29" s="12">
        <v>46</v>
      </c>
      <c r="H29" s="8">
        <v>9.1999999999999993</v>
      </c>
      <c r="I29" s="12">
        <v>0</v>
      </c>
    </row>
    <row r="30" spans="2:9" ht="15" customHeight="1" x14ac:dyDescent="0.2">
      <c r="B30" t="s">
        <v>105</v>
      </c>
      <c r="C30" s="12">
        <v>71</v>
      </c>
      <c r="D30" s="8">
        <v>4.8899999999999997</v>
      </c>
      <c r="E30" s="12">
        <v>55</v>
      </c>
      <c r="F30" s="8">
        <v>5.82</v>
      </c>
      <c r="G30" s="12">
        <v>16</v>
      </c>
      <c r="H30" s="8">
        <v>3.2</v>
      </c>
      <c r="I30" s="12">
        <v>0</v>
      </c>
    </row>
    <row r="31" spans="2:9" ht="15" customHeight="1" x14ac:dyDescent="0.2">
      <c r="B31" t="s">
        <v>103</v>
      </c>
      <c r="C31" s="12">
        <v>66</v>
      </c>
      <c r="D31" s="8">
        <v>4.54</v>
      </c>
      <c r="E31" s="12">
        <v>22</v>
      </c>
      <c r="F31" s="8">
        <v>2.33</v>
      </c>
      <c r="G31" s="12">
        <v>44</v>
      </c>
      <c r="H31" s="8">
        <v>8.8000000000000007</v>
      </c>
      <c r="I31" s="12">
        <v>0</v>
      </c>
    </row>
    <row r="32" spans="2:9" ht="15" customHeight="1" x14ac:dyDescent="0.2">
      <c r="B32" t="s">
        <v>98</v>
      </c>
      <c r="C32" s="12">
        <v>59</v>
      </c>
      <c r="D32" s="8">
        <v>4.0599999999999996</v>
      </c>
      <c r="E32" s="12">
        <v>22</v>
      </c>
      <c r="F32" s="8">
        <v>2.33</v>
      </c>
      <c r="G32" s="12">
        <v>37</v>
      </c>
      <c r="H32" s="8">
        <v>7.4</v>
      </c>
      <c r="I32" s="12">
        <v>0</v>
      </c>
    </row>
    <row r="33" spans="2:9" ht="15" customHeight="1" x14ac:dyDescent="0.2">
      <c r="B33" t="s">
        <v>106</v>
      </c>
      <c r="C33" s="12">
        <v>45</v>
      </c>
      <c r="D33" s="8">
        <v>3.1</v>
      </c>
      <c r="E33" s="12">
        <v>35</v>
      </c>
      <c r="F33" s="8">
        <v>3.7</v>
      </c>
      <c r="G33" s="12">
        <v>10</v>
      </c>
      <c r="H33" s="8">
        <v>2</v>
      </c>
      <c r="I33" s="12">
        <v>0</v>
      </c>
    </row>
    <row r="34" spans="2:9" ht="15" customHeight="1" x14ac:dyDescent="0.2">
      <c r="B34" t="s">
        <v>99</v>
      </c>
      <c r="C34" s="12">
        <v>42</v>
      </c>
      <c r="D34" s="8">
        <v>2.89</v>
      </c>
      <c r="E34" s="12">
        <v>34</v>
      </c>
      <c r="F34" s="8">
        <v>3.6</v>
      </c>
      <c r="G34" s="12">
        <v>8</v>
      </c>
      <c r="H34" s="8">
        <v>1.6</v>
      </c>
      <c r="I34" s="12">
        <v>0</v>
      </c>
    </row>
    <row r="35" spans="2:9" ht="15" customHeight="1" x14ac:dyDescent="0.2">
      <c r="B35" t="s">
        <v>115</v>
      </c>
      <c r="C35" s="12">
        <v>37</v>
      </c>
      <c r="D35" s="8">
        <v>2.5499999999999998</v>
      </c>
      <c r="E35" s="12">
        <v>30</v>
      </c>
      <c r="F35" s="8">
        <v>3.17</v>
      </c>
      <c r="G35" s="12">
        <v>7</v>
      </c>
      <c r="H35" s="8">
        <v>1.4</v>
      </c>
      <c r="I35" s="12">
        <v>0</v>
      </c>
    </row>
    <row r="36" spans="2:9" ht="15" customHeight="1" x14ac:dyDescent="0.2">
      <c r="B36" t="s">
        <v>101</v>
      </c>
      <c r="C36" s="12">
        <v>33</v>
      </c>
      <c r="D36" s="8">
        <v>2.27</v>
      </c>
      <c r="E36" s="12">
        <v>14</v>
      </c>
      <c r="F36" s="8">
        <v>1.48</v>
      </c>
      <c r="G36" s="12">
        <v>19</v>
      </c>
      <c r="H36" s="8">
        <v>3.8</v>
      </c>
      <c r="I36" s="12">
        <v>0</v>
      </c>
    </row>
    <row r="37" spans="2:9" ht="15" customHeight="1" x14ac:dyDescent="0.2">
      <c r="B37" t="s">
        <v>110</v>
      </c>
      <c r="C37" s="12">
        <v>28</v>
      </c>
      <c r="D37" s="8">
        <v>1.93</v>
      </c>
      <c r="E37" s="12">
        <v>14</v>
      </c>
      <c r="F37" s="8">
        <v>1.48</v>
      </c>
      <c r="G37" s="12">
        <v>14</v>
      </c>
      <c r="H37" s="8">
        <v>2.8</v>
      </c>
      <c r="I37" s="12">
        <v>0</v>
      </c>
    </row>
    <row r="38" spans="2:9" ht="15" customHeight="1" x14ac:dyDescent="0.2">
      <c r="B38" t="s">
        <v>132</v>
      </c>
      <c r="C38" s="12">
        <v>25</v>
      </c>
      <c r="D38" s="8">
        <v>1.72</v>
      </c>
      <c r="E38" s="12">
        <v>19</v>
      </c>
      <c r="F38" s="8">
        <v>2.0099999999999998</v>
      </c>
      <c r="G38" s="12">
        <v>6</v>
      </c>
      <c r="H38" s="8">
        <v>1.2</v>
      </c>
      <c r="I38" s="12">
        <v>0</v>
      </c>
    </row>
    <row r="39" spans="2:9" ht="15" customHeight="1" x14ac:dyDescent="0.2">
      <c r="B39" t="s">
        <v>119</v>
      </c>
      <c r="C39" s="12">
        <v>24</v>
      </c>
      <c r="D39" s="8">
        <v>1.65</v>
      </c>
      <c r="E39" s="12">
        <v>18</v>
      </c>
      <c r="F39" s="8">
        <v>1.9</v>
      </c>
      <c r="G39" s="12">
        <v>6</v>
      </c>
      <c r="H39" s="8">
        <v>1.2</v>
      </c>
      <c r="I39" s="12">
        <v>0</v>
      </c>
    </row>
    <row r="40" spans="2:9" ht="15" customHeight="1" x14ac:dyDescent="0.2">
      <c r="B40" t="s">
        <v>114</v>
      </c>
      <c r="C40" s="12">
        <v>24</v>
      </c>
      <c r="D40" s="8">
        <v>1.65</v>
      </c>
      <c r="E40" s="12">
        <v>18</v>
      </c>
      <c r="F40" s="8">
        <v>1.9</v>
      </c>
      <c r="G40" s="12">
        <v>2</v>
      </c>
      <c r="H40" s="8">
        <v>0.4</v>
      </c>
      <c r="I40" s="12">
        <v>2</v>
      </c>
    </row>
    <row r="41" spans="2:9" ht="15" customHeight="1" x14ac:dyDescent="0.2">
      <c r="B41" t="s">
        <v>104</v>
      </c>
      <c r="C41" s="12">
        <v>23</v>
      </c>
      <c r="D41" s="8">
        <v>1.58</v>
      </c>
      <c r="E41" s="12">
        <v>11</v>
      </c>
      <c r="F41" s="8">
        <v>1.1599999999999999</v>
      </c>
      <c r="G41" s="12">
        <v>12</v>
      </c>
      <c r="H41" s="8">
        <v>2.4</v>
      </c>
      <c r="I41" s="12">
        <v>0</v>
      </c>
    </row>
    <row r="42" spans="2:9" ht="15" customHeight="1" x14ac:dyDescent="0.2">
      <c r="B42" t="s">
        <v>123</v>
      </c>
      <c r="C42" s="12">
        <v>23</v>
      </c>
      <c r="D42" s="8">
        <v>1.58</v>
      </c>
      <c r="E42" s="12">
        <v>20</v>
      </c>
      <c r="F42" s="8">
        <v>2.12</v>
      </c>
      <c r="G42" s="12">
        <v>3</v>
      </c>
      <c r="H42" s="8">
        <v>0.6</v>
      </c>
      <c r="I42" s="12">
        <v>0</v>
      </c>
    </row>
    <row r="43" spans="2:9" ht="15" customHeight="1" x14ac:dyDescent="0.2">
      <c r="B43" t="s">
        <v>111</v>
      </c>
      <c r="C43" s="12">
        <v>17</v>
      </c>
      <c r="D43" s="8">
        <v>1.17</v>
      </c>
      <c r="E43" s="12">
        <v>10</v>
      </c>
      <c r="F43" s="8">
        <v>1.06</v>
      </c>
      <c r="G43" s="12">
        <v>6</v>
      </c>
      <c r="H43" s="8">
        <v>1.2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209</v>
      </c>
      <c r="C47" s="12">
        <v>174</v>
      </c>
      <c r="D47" s="8">
        <v>11.98</v>
      </c>
      <c r="E47" s="12">
        <v>134</v>
      </c>
      <c r="F47" s="8">
        <v>14.18</v>
      </c>
      <c r="G47" s="12">
        <v>40</v>
      </c>
      <c r="H47" s="8">
        <v>8</v>
      </c>
      <c r="I47" s="12">
        <v>0</v>
      </c>
    </row>
    <row r="48" spans="2:9" ht="15" customHeight="1" x14ac:dyDescent="0.2">
      <c r="B48" t="s">
        <v>216</v>
      </c>
      <c r="C48" s="12">
        <v>113</v>
      </c>
      <c r="D48" s="8">
        <v>7.78</v>
      </c>
      <c r="E48" s="12">
        <v>105</v>
      </c>
      <c r="F48" s="8">
        <v>11.11</v>
      </c>
      <c r="G48" s="12">
        <v>8</v>
      </c>
      <c r="H48" s="8">
        <v>1.6</v>
      </c>
      <c r="I48" s="12">
        <v>0</v>
      </c>
    </row>
    <row r="49" spans="2:9" ht="15" customHeight="1" x14ac:dyDescent="0.2">
      <c r="B49" t="s">
        <v>217</v>
      </c>
      <c r="C49" s="12">
        <v>46</v>
      </c>
      <c r="D49" s="8">
        <v>3.17</v>
      </c>
      <c r="E49" s="12">
        <v>12</v>
      </c>
      <c r="F49" s="8">
        <v>1.27</v>
      </c>
      <c r="G49" s="12">
        <v>34</v>
      </c>
      <c r="H49" s="8">
        <v>6.8</v>
      </c>
      <c r="I49" s="12">
        <v>0</v>
      </c>
    </row>
    <row r="50" spans="2:9" ht="15" customHeight="1" x14ac:dyDescent="0.2">
      <c r="B50" t="s">
        <v>164</v>
      </c>
      <c r="C50" s="12">
        <v>44</v>
      </c>
      <c r="D50" s="8">
        <v>3.03</v>
      </c>
      <c r="E50" s="12">
        <v>23</v>
      </c>
      <c r="F50" s="8">
        <v>2.4300000000000002</v>
      </c>
      <c r="G50" s="12">
        <v>21</v>
      </c>
      <c r="H50" s="8">
        <v>4.2</v>
      </c>
      <c r="I50" s="12">
        <v>0</v>
      </c>
    </row>
    <row r="51" spans="2:9" ht="15" customHeight="1" x14ac:dyDescent="0.2">
      <c r="B51" t="s">
        <v>170</v>
      </c>
      <c r="C51" s="12">
        <v>41</v>
      </c>
      <c r="D51" s="8">
        <v>2.82</v>
      </c>
      <c r="E51" s="12">
        <v>39</v>
      </c>
      <c r="F51" s="8">
        <v>4.13</v>
      </c>
      <c r="G51" s="12">
        <v>2</v>
      </c>
      <c r="H51" s="8">
        <v>0.4</v>
      </c>
      <c r="I51" s="12">
        <v>0</v>
      </c>
    </row>
    <row r="52" spans="2:9" ht="15" customHeight="1" x14ac:dyDescent="0.2">
      <c r="B52" t="s">
        <v>214</v>
      </c>
      <c r="C52" s="12">
        <v>36</v>
      </c>
      <c r="D52" s="8">
        <v>2.48</v>
      </c>
      <c r="E52" s="12">
        <v>21</v>
      </c>
      <c r="F52" s="8">
        <v>2.2200000000000002</v>
      </c>
      <c r="G52" s="12">
        <v>15</v>
      </c>
      <c r="H52" s="8">
        <v>3</v>
      </c>
      <c r="I52" s="12">
        <v>0</v>
      </c>
    </row>
    <row r="53" spans="2:9" ht="15" customHeight="1" x14ac:dyDescent="0.2">
      <c r="B53" t="s">
        <v>169</v>
      </c>
      <c r="C53" s="12">
        <v>35</v>
      </c>
      <c r="D53" s="8">
        <v>2.41</v>
      </c>
      <c r="E53" s="12">
        <v>34</v>
      </c>
      <c r="F53" s="8">
        <v>3.6</v>
      </c>
      <c r="G53" s="12">
        <v>1</v>
      </c>
      <c r="H53" s="8">
        <v>0.2</v>
      </c>
      <c r="I53" s="12">
        <v>0</v>
      </c>
    </row>
    <row r="54" spans="2:9" ht="15" customHeight="1" x14ac:dyDescent="0.2">
      <c r="B54" t="s">
        <v>168</v>
      </c>
      <c r="C54" s="12">
        <v>33</v>
      </c>
      <c r="D54" s="8">
        <v>2.27</v>
      </c>
      <c r="E54" s="12">
        <v>33</v>
      </c>
      <c r="F54" s="8">
        <v>3.49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172</v>
      </c>
      <c r="C55" s="12">
        <v>29</v>
      </c>
      <c r="D55" s="8">
        <v>2</v>
      </c>
      <c r="E55" s="12">
        <v>24</v>
      </c>
      <c r="F55" s="8">
        <v>2.54</v>
      </c>
      <c r="G55" s="12">
        <v>5</v>
      </c>
      <c r="H55" s="8">
        <v>1</v>
      </c>
      <c r="I55" s="12">
        <v>0</v>
      </c>
    </row>
    <row r="56" spans="2:9" ht="15" customHeight="1" x14ac:dyDescent="0.2">
      <c r="B56" t="s">
        <v>212</v>
      </c>
      <c r="C56" s="12">
        <v>26</v>
      </c>
      <c r="D56" s="8">
        <v>1.79</v>
      </c>
      <c r="E56" s="12">
        <v>13</v>
      </c>
      <c r="F56" s="8">
        <v>1.38</v>
      </c>
      <c r="G56" s="12">
        <v>13</v>
      </c>
      <c r="H56" s="8">
        <v>2.6</v>
      </c>
      <c r="I56" s="12">
        <v>0</v>
      </c>
    </row>
    <row r="57" spans="2:9" ht="15" customHeight="1" x14ac:dyDescent="0.2">
      <c r="B57" t="s">
        <v>159</v>
      </c>
      <c r="C57" s="12">
        <v>25</v>
      </c>
      <c r="D57" s="8">
        <v>1.72</v>
      </c>
      <c r="E57" s="12">
        <v>20</v>
      </c>
      <c r="F57" s="8">
        <v>2.12</v>
      </c>
      <c r="G57" s="12">
        <v>5</v>
      </c>
      <c r="H57" s="8">
        <v>1</v>
      </c>
      <c r="I57" s="12">
        <v>0</v>
      </c>
    </row>
    <row r="58" spans="2:9" ht="15" customHeight="1" x14ac:dyDescent="0.2">
      <c r="B58" t="s">
        <v>163</v>
      </c>
      <c r="C58" s="12">
        <v>25</v>
      </c>
      <c r="D58" s="8">
        <v>1.72</v>
      </c>
      <c r="E58" s="12">
        <v>3</v>
      </c>
      <c r="F58" s="8">
        <v>0.32</v>
      </c>
      <c r="G58" s="12">
        <v>22</v>
      </c>
      <c r="H58" s="8">
        <v>4.4000000000000004</v>
      </c>
      <c r="I58" s="12">
        <v>0</v>
      </c>
    </row>
    <row r="59" spans="2:9" ht="15" customHeight="1" x14ac:dyDescent="0.2">
      <c r="B59" t="s">
        <v>194</v>
      </c>
      <c r="C59" s="12">
        <v>24</v>
      </c>
      <c r="D59" s="8">
        <v>1.65</v>
      </c>
      <c r="E59" s="12">
        <v>10</v>
      </c>
      <c r="F59" s="8">
        <v>1.06</v>
      </c>
      <c r="G59" s="12">
        <v>14</v>
      </c>
      <c r="H59" s="8">
        <v>2.8</v>
      </c>
      <c r="I59" s="12">
        <v>0</v>
      </c>
    </row>
    <row r="60" spans="2:9" ht="15" customHeight="1" x14ac:dyDescent="0.2">
      <c r="B60" t="s">
        <v>167</v>
      </c>
      <c r="C60" s="12">
        <v>24</v>
      </c>
      <c r="D60" s="8">
        <v>1.65</v>
      </c>
      <c r="E60" s="12">
        <v>22</v>
      </c>
      <c r="F60" s="8">
        <v>2.33</v>
      </c>
      <c r="G60" s="12">
        <v>2</v>
      </c>
      <c r="H60" s="8">
        <v>0.4</v>
      </c>
      <c r="I60" s="12">
        <v>0</v>
      </c>
    </row>
    <row r="61" spans="2:9" ht="15" customHeight="1" x14ac:dyDescent="0.2">
      <c r="B61" t="s">
        <v>166</v>
      </c>
      <c r="C61" s="12">
        <v>23</v>
      </c>
      <c r="D61" s="8">
        <v>1.58</v>
      </c>
      <c r="E61" s="12">
        <v>22</v>
      </c>
      <c r="F61" s="8">
        <v>2.33</v>
      </c>
      <c r="G61" s="12">
        <v>1</v>
      </c>
      <c r="H61" s="8">
        <v>0.2</v>
      </c>
      <c r="I61" s="12">
        <v>0</v>
      </c>
    </row>
    <row r="62" spans="2:9" ht="15" customHeight="1" x14ac:dyDescent="0.2">
      <c r="B62" t="s">
        <v>173</v>
      </c>
      <c r="C62" s="12">
        <v>23</v>
      </c>
      <c r="D62" s="8">
        <v>1.58</v>
      </c>
      <c r="E62" s="12">
        <v>20</v>
      </c>
      <c r="F62" s="8">
        <v>2.12</v>
      </c>
      <c r="G62" s="12">
        <v>3</v>
      </c>
      <c r="H62" s="8">
        <v>0.6</v>
      </c>
      <c r="I62" s="12">
        <v>0</v>
      </c>
    </row>
    <row r="63" spans="2:9" ht="15" customHeight="1" x14ac:dyDescent="0.2">
      <c r="B63" t="s">
        <v>154</v>
      </c>
      <c r="C63" s="12">
        <v>22</v>
      </c>
      <c r="D63" s="8">
        <v>1.51</v>
      </c>
      <c r="E63" s="12">
        <v>5</v>
      </c>
      <c r="F63" s="8">
        <v>0.53</v>
      </c>
      <c r="G63" s="12">
        <v>17</v>
      </c>
      <c r="H63" s="8">
        <v>3.4</v>
      </c>
      <c r="I63" s="12">
        <v>0</v>
      </c>
    </row>
    <row r="64" spans="2:9" ht="15" customHeight="1" x14ac:dyDescent="0.2">
      <c r="B64" t="s">
        <v>213</v>
      </c>
      <c r="C64" s="12">
        <v>22</v>
      </c>
      <c r="D64" s="8">
        <v>1.51</v>
      </c>
      <c r="E64" s="12">
        <v>8</v>
      </c>
      <c r="F64" s="8">
        <v>0.85</v>
      </c>
      <c r="G64" s="12">
        <v>14</v>
      </c>
      <c r="H64" s="8">
        <v>2.8</v>
      </c>
      <c r="I64" s="12">
        <v>0</v>
      </c>
    </row>
    <row r="65" spans="2:9" ht="15" customHeight="1" x14ac:dyDescent="0.2">
      <c r="B65" t="s">
        <v>215</v>
      </c>
      <c r="C65" s="12">
        <v>20</v>
      </c>
      <c r="D65" s="8">
        <v>1.38</v>
      </c>
      <c r="E65" s="12">
        <v>11</v>
      </c>
      <c r="F65" s="8">
        <v>1.1599999999999999</v>
      </c>
      <c r="G65" s="12">
        <v>9</v>
      </c>
      <c r="H65" s="8">
        <v>1.8</v>
      </c>
      <c r="I65" s="12">
        <v>0</v>
      </c>
    </row>
    <row r="66" spans="2:9" ht="15" customHeight="1" x14ac:dyDescent="0.2">
      <c r="B66" t="s">
        <v>158</v>
      </c>
      <c r="C66" s="12">
        <v>20</v>
      </c>
      <c r="D66" s="8">
        <v>1.38</v>
      </c>
      <c r="E66" s="12">
        <v>15</v>
      </c>
      <c r="F66" s="8">
        <v>1.59</v>
      </c>
      <c r="G66" s="12">
        <v>5</v>
      </c>
      <c r="H66" s="8">
        <v>1</v>
      </c>
      <c r="I66" s="12">
        <v>0</v>
      </c>
    </row>
    <row r="68" spans="2:9" ht="15" customHeight="1" x14ac:dyDescent="0.2">
      <c r="B68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89A6B-61C6-4C5C-B1E2-04A524542142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314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201</v>
      </c>
      <c r="D6" s="8">
        <v>13.46</v>
      </c>
      <c r="E6" s="12">
        <v>78</v>
      </c>
      <c r="F6" s="8">
        <v>9.01</v>
      </c>
      <c r="G6" s="12">
        <v>123</v>
      </c>
      <c r="H6" s="8">
        <v>20.16</v>
      </c>
      <c r="I6" s="12">
        <v>0</v>
      </c>
    </row>
    <row r="7" spans="2:9" ht="15" customHeight="1" x14ac:dyDescent="0.2">
      <c r="B7" t="s">
        <v>77</v>
      </c>
      <c r="C7" s="12">
        <v>70</v>
      </c>
      <c r="D7" s="8">
        <v>4.6900000000000004</v>
      </c>
      <c r="E7" s="12">
        <v>27</v>
      </c>
      <c r="F7" s="8">
        <v>3.12</v>
      </c>
      <c r="G7" s="12">
        <v>43</v>
      </c>
      <c r="H7" s="8">
        <v>7.05</v>
      </c>
      <c r="I7" s="12">
        <v>0</v>
      </c>
    </row>
    <row r="8" spans="2:9" ht="15" customHeight="1" x14ac:dyDescent="0.2">
      <c r="B8" t="s">
        <v>78</v>
      </c>
      <c r="C8" s="12">
        <v>6</v>
      </c>
      <c r="D8" s="8">
        <v>0.4</v>
      </c>
      <c r="E8" s="12">
        <v>1</v>
      </c>
      <c r="F8" s="8">
        <v>0.12</v>
      </c>
      <c r="G8" s="12">
        <v>4</v>
      </c>
      <c r="H8" s="8">
        <v>0.66</v>
      </c>
      <c r="I8" s="12">
        <v>0</v>
      </c>
    </row>
    <row r="9" spans="2:9" ht="15" customHeight="1" x14ac:dyDescent="0.2">
      <c r="B9" t="s">
        <v>79</v>
      </c>
      <c r="C9" s="12">
        <v>5</v>
      </c>
      <c r="D9" s="8">
        <v>0.33</v>
      </c>
      <c r="E9" s="12">
        <v>1</v>
      </c>
      <c r="F9" s="8">
        <v>0.12</v>
      </c>
      <c r="G9" s="12">
        <v>4</v>
      </c>
      <c r="H9" s="8">
        <v>0.66</v>
      </c>
      <c r="I9" s="12">
        <v>0</v>
      </c>
    </row>
    <row r="10" spans="2:9" ht="15" customHeight="1" x14ac:dyDescent="0.2">
      <c r="B10" t="s">
        <v>80</v>
      </c>
      <c r="C10" s="12">
        <v>9</v>
      </c>
      <c r="D10" s="8">
        <v>0.6</v>
      </c>
      <c r="E10" s="12">
        <v>2</v>
      </c>
      <c r="F10" s="8">
        <v>0.23</v>
      </c>
      <c r="G10" s="12">
        <v>7</v>
      </c>
      <c r="H10" s="8">
        <v>1.1499999999999999</v>
      </c>
      <c r="I10" s="12">
        <v>0</v>
      </c>
    </row>
    <row r="11" spans="2:9" ht="15" customHeight="1" x14ac:dyDescent="0.2">
      <c r="B11" t="s">
        <v>81</v>
      </c>
      <c r="C11" s="12">
        <v>366</v>
      </c>
      <c r="D11" s="8">
        <v>24.51</v>
      </c>
      <c r="E11" s="12">
        <v>183</v>
      </c>
      <c r="F11" s="8">
        <v>21.13</v>
      </c>
      <c r="G11" s="12">
        <v>183</v>
      </c>
      <c r="H11" s="8">
        <v>30</v>
      </c>
      <c r="I11" s="12">
        <v>0</v>
      </c>
    </row>
    <row r="12" spans="2:9" ht="15" customHeight="1" x14ac:dyDescent="0.2">
      <c r="B12" t="s">
        <v>82</v>
      </c>
      <c r="C12" s="12">
        <v>9</v>
      </c>
      <c r="D12" s="8">
        <v>0.6</v>
      </c>
      <c r="E12" s="12">
        <v>1</v>
      </c>
      <c r="F12" s="8">
        <v>0.12</v>
      </c>
      <c r="G12" s="12">
        <v>7</v>
      </c>
      <c r="H12" s="8">
        <v>1.1499999999999999</v>
      </c>
      <c r="I12" s="12">
        <v>1</v>
      </c>
    </row>
    <row r="13" spans="2:9" ht="15" customHeight="1" x14ac:dyDescent="0.2">
      <c r="B13" t="s">
        <v>83</v>
      </c>
      <c r="C13" s="12">
        <v>171</v>
      </c>
      <c r="D13" s="8">
        <v>11.45</v>
      </c>
      <c r="E13" s="12">
        <v>108</v>
      </c>
      <c r="F13" s="8">
        <v>12.47</v>
      </c>
      <c r="G13" s="12">
        <v>63</v>
      </c>
      <c r="H13" s="8">
        <v>10.33</v>
      </c>
      <c r="I13" s="12">
        <v>0</v>
      </c>
    </row>
    <row r="14" spans="2:9" ht="15" customHeight="1" x14ac:dyDescent="0.2">
      <c r="B14" t="s">
        <v>84</v>
      </c>
      <c r="C14" s="12">
        <v>64</v>
      </c>
      <c r="D14" s="8">
        <v>4.29</v>
      </c>
      <c r="E14" s="12">
        <v>41</v>
      </c>
      <c r="F14" s="8">
        <v>4.7300000000000004</v>
      </c>
      <c r="G14" s="12">
        <v>23</v>
      </c>
      <c r="H14" s="8">
        <v>3.77</v>
      </c>
      <c r="I14" s="12">
        <v>0</v>
      </c>
    </row>
    <row r="15" spans="2:9" ht="15" customHeight="1" x14ac:dyDescent="0.2">
      <c r="B15" t="s">
        <v>85</v>
      </c>
      <c r="C15" s="12">
        <v>194</v>
      </c>
      <c r="D15" s="8">
        <v>12.99</v>
      </c>
      <c r="E15" s="12">
        <v>162</v>
      </c>
      <c r="F15" s="8">
        <v>18.71</v>
      </c>
      <c r="G15" s="12">
        <v>32</v>
      </c>
      <c r="H15" s="8">
        <v>5.25</v>
      </c>
      <c r="I15" s="12">
        <v>0</v>
      </c>
    </row>
    <row r="16" spans="2:9" ht="15" customHeight="1" x14ac:dyDescent="0.2">
      <c r="B16" t="s">
        <v>86</v>
      </c>
      <c r="C16" s="12">
        <v>191</v>
      </c>
      <c r="D16" s="8">
        <v>12.79</v>
      </c>
      <c r="E16" s="12">
        <v>147</v>
      </c>
      <c r="F16" s="8">
        <v>16.97</v>
      </c>
      <c r="G16" s="12">
        <v>44</v>
      </c>
      <c r="H16" s="8">
        <v>7.21</v>
      </c>
      <c r="I16" s="12">
        <v>0</v>
      </c>
    </row>
    <row r="17" spans="2:9" ht="15" customHeight="1" x14ac:dyDescent="0.2">
      <c r="B17" t="s">
        <v>87</v>
      </c>
      <c r="C17" s="12">
        <v>66</v>
      </c>
      <c r="D17" s="8">
        <v>4.42</v>
      </c>
      <c r="E17" s="12">
        <v>48</v>
      </c>
      <c r="F17" s="8">
        <v>5.54</v>
      </c>
      <c r="G17" s="12">
        <v>9</v>
      </c>
      <c r="H17" s="8">
        <v>1.48</v>
      </c>
      <c r="I17" s="12">
        <v>0</v>
      </c>
    </row>
    <row r="18" spans="2:9" ht="15" customHeight="1" x14ac:dyDescent="0.2">
      <c r="B18" t="s">
        <v>88</v>
      </c>
      <c r="C18" s="12">
        <v>91</v>
      </c>
      <c r="D18" s="8">
        <v>6.1</v>
      </c>
      <c r="E18" s="12">
        <v>47</v>
      </c>
      <c r="F18" s="8">
        <v>5.43</v>
      </c>
      <c r="G18" s="12">
        <v>43</v>
      </c>
      <c r="H18" s="8">
        <v>7.05</v>
      </c>
      <c r="I18" s="12">
        <v>0</v>
      </c>
    </row>
    <row r="19" spans="2:9" ht="15" customHeight="1" x14ac:dyDescent="0.2">
      <c r="B19" t="s">
        <v>89</v>
      </c>
      <c r="C19" s="12">
        <v>50</v>
      </c>
      <c r="D19" s="8">
        <v>3.35</v>
      </c>
      <c r="E19" s="12">
        <v>20</v>
      </c>
      <c r="F19" s="8">
        <v>2.31</v>
      </c>
      <c r="G19" s="12">
        <v>25</v>
      </c>
      <c r="H19" s="8">
        <v>4.0999999999999996</v>
      </c>
      <c r="I19" s="12">
        <v>2</v>
      </c>
    </row>
    <row r="20" spans="2:9" ht="15" customHeight="1" x14ac:dyDescent="0.2">
      <c r="B20" s="9" t="s">
        <v>285</v>
      </c>
      <c r="C20" s="12">
        <f>SUM(LTBL_40213[総数／事業所数])</f>
        <v>1493</v>
      </c>
      <c r="E20" s="12">
        <f>SUBTOTAL(109,LTBL_40213[個人／事業所数])</f>
        <v>866</v>
      </c>
      <c r="G20" s="12">
        <f>SUBTOTAL(109,LTBL_40213[法人／事業所数])</f>
        <v>610</v>
      </c>
      <c r="I20" s="12">
        <f>SUBTOTAL(109,LTBL_40213[法人以外の団体／事業所数])</f>
        <v>3</v>
      </c>
    </row>
    <row r="21" spans="2:9" ht="15" customHeight="1" x14ac:dyDescent="0.2">
      <c r="E21" s="11">
        <f>LTBL_40213[[#Totals],[個人／事業所数]]/LTBL_40213[[#Totals],[総数／事業所数]]</f>
        <v>0.58004018754186204</v>
      </c>
      <c r="G21" s="11">
        <f>LTBL_40213[[#Totals],[法人／事業所数]]/LTBL_40213[[#Totals],[総数／事業所数]]</f>
        <v>0.40857334226389819</v>
      </c>
      <c r="I21" s="11">
        <f>LTBL_40213[[#Totals],[法人以外の団体／事業所数]]/LTBL_40213[[#Totals],[総数／事業所数]]</f>
        <v>2.0093770931011385E-3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112</v>
      </c>
      <c r="C24" s="12">
        <v>174</v>
      </c>
      <c r="D24" s="8">
        <v>11.65</v>
      </c>
      <c r="E24" s="12">
        <v>150</v>
      </c>
      <c r="F24" s="8">
        <v>17.32</v>
      </c>
      <c r="G24" s="12">
        <v>24</v>
      </c>
      <c r="H24" s="8">
        <v>3.93</v>
      </c>
      <c r="I24" s="12">
        <v>0</v>
      </c>
    </row>
    <row r="25" spans="2:9" ht="15" customHeight="1" x14ac:dyDescent="0.2">
      <c r="B25" t="s">
        <v>113</v>
      </c>
      <c r="C25" s="12">
        <v>157</v>
      </c>
      <c r="D25" s="8">
        <v>10.52</v>
      </c>
      <c r="E25" s="12">
        <v>134</v>
      </c>
      <c r="F25" s="8">
        <v>15.47</v>
      </c>
      <c r="G25" s="12">
        <v>23</v>
      </c>
      <c r="H25" s="8">
        <v>3.77</v>
      </c>
      <c r="I25" s="12">
        <v>0</v>
      </c>
    </row>
    <row r="26" spans="2:9" ht="15" customHeight="1" x14ac:dyDescent="0.2">
      <c r="B26" t="s">
        <v>109</v>
      </c>
      <c r="C26" s="12">
        <v>146</v>
      </c>
      <c r="D26" s="8">
        <v>9.7799999999999994</v>
      </c>
      <c r="E26" s="12">
        <v>106</v>
      </c>
      <c r="F26" s="8">
        <v>12.24</v>
      </c>
      <c r="G26" s="12">
        <v>40</v>
      </c>
      <c r="H26" s="8">
        <v>6.56</v>
      </c>
      <c r="I26" s="12">
        <v>0</v>
      </c>
    </row>
    <row r="27" spans="2:9" ht="15" customHeight="1" x14ac:dyDescent="0.2">
      <c r="B27" t="s">
        <v>107</v>
      </c>
      <c r="C27" s="12">
        <v>116</v>
      </c>
      <c r="D27" s="8">
        <v>7.77</v>
      </c>
      <c r="E27" s="12">
        <v>54</v>
      </c>
      <c r="F27" s="8">
        <v>6.24</v>
      </c>
      <c r="G27" s="12">
        <v>62</v>
      </c>
      <c r="H27" s="8">
        <v>10.16</v>
      </c>
      <c r="I27" s="12">
        <v>0</v>
      </c>
    </row>
    <row r="28" spans="2:9" ht="15" customHeight="1" x14ac:dyDescent="0.2">
      <c r="B28" t="s">
        <v>98</v>
      </c>
      <c r="C28" s="12">
        <v>114</v>
      </c>
      <c r="D28" s="8">
        <v>7.64</v>
      </c>
      <c r="E28" s="12">
        <v>41</v>
      </c>
      <c r="F28" s="8">
        <v>4.7300000000000004</v>
      </c>
      <c r="G28" s="12">
        <v>73</v>
      </c>
      <c r="H28" s="8">
        <v>11.97</v>
      </c>
      <c r="I28" s="12">
        <v>0</v>
      </c>
    </row>
    <row r="29" spans="2:9" ht="15" customHeight="1" x14ac:dyDescent="0.2">
      <c r="B29" t="s">
        <v>105</v>
      </c>
      <c r="C29" s="12">
        <v>75</v>
      </c>
      <c r="D29" s="8">
        <v>5.0199999999999996</v>
      </c>
      <c r="E29" s="12">
        <v>57</v>
      </c>
      <c r="F29" s="8">
        <v>6.58</v>
      </c>
      <c r="G29" s="12">
        <v>18</v>
      </c>
      <c r="H29" s="8">
        <v>2.95</v>
      </c>
      <c r="I29" s="12">
        <v>0</v>
      </c>
    </row>
    <row r="30" spans="2:9" ht="15" customHeight="1" x14ac:dyDescent="0.2">
      <c r="B30" t="s">
        <v>114</v>
      </c>
      <c r="C30" s="12">
        <v>66</v>
      </c>
      <c r="D30" s="8">
        <v>4.42</v>
      </c>
      <c r="E30" s="12">
        <v>48</v>
      </c>
      <c r="F30" s="8">
        <v>5.54</v>
      </c>
      <c r="G30" s="12">
        <v>9</v>
      </c>
      <c r="H30" s="8">
        <v>1.48</v>
      </c>
      <c r="I30" s="12">
        <v>0</v>
      </c>
    </row>
    <row r="31" spans="2:9" ht="15" customHeight="1" x14ac:dyDescent="0.2">
      <c r="B31" t="s">
        <v>115</v>
      </c>
      <c r="C31" s="12">
        <v>57</v>
      </c>
      <c r="D31" s="8">
        <v>3.82</v>
      </c>
      <c r="E31" s="12">
        <v>47</v>
      </c>
      <c r="F31" s="8">
        <v>5.43</v>
      </c>
      <c r="G31" s="12">
        <v>10</v>
      </c>
      <c r="H31" s="8">
        <v>1.64</v>
      </c>
      <c r="I31" s="12">
        <v>0</v>
      </c>
    </row>
    <row r="32" spans="2:9" ht="15" customHeight="1" x14ac:dyDescent="0.2">
      <c r="B32" t="s">
        <v>104</v>
      </c>
      <c r="C32" s="12">
        <v>53</v>
      </c>
      <c r="D32" s="8">
        <v>3.55</v>
      </c>
      <c r="E32" s="12">
        <v>22</v>
      </c>
      <c r="F32" s="8">
        <v>2.54</v>
      </c>
      <c r="G32" s="12">
        <v>31</v>
      </c>
      <c r="H32" s="8">
        <v>5.08</v>
      </c>
      <c r="I32" s="12">
        <v>0</v>
      </c>
    </row>
    <row r="33" spans="2:9" ht="15" customHeight="1" x14ac:dyDescent="0.2">
      <c r="B33" t="s">
        <v>100</v>
      </c>
      <c r="C33" s="12">
        <v>51</v>
      </c>
      <c r="D33" s="8">
        <v>3.42</v>
      </c>
      <c r="E33" s="12">
        <v>18</v>
      </c>
      <c r="F33" s="8">
        <v>2.08</v>
      </c>
      <c r="G33" s="12">
        <v>33</v>
      </c>
      <c r="H33" s="8">
        <v>5.41</v>
      </c>
      <c r="I33" s="12">
        <v>0</v>
      </c>
    </row>
    <row r="34" spans="2:9" ht="15" customHeight="1" x14ac:dyDescent="0.2">
      <c r="B34" t="s">
        <v>106</v>
      </c>
      <c r="C34" s="12">
        <v>48</v>
      </c>
      <c r="D34" s="8">
        <v>3.22</v>
      </c>
      <c r="E34" s="12">
        <v>30</v>
      </c>
      <c r="F34" s="8">
        <v>3.46</v>
      </c>
      <c r="G34" s="12">
        <v>18</v>
      </c>
      <c r="H34" s="8">
        <v>2.95</v>
      </c>
      <c r="I34" s="12">
        <v>0</v>
      </c>
    </row>
    <row r="35" spans="2:9" ht="15" customHeight="1" x14ac:dyDescent="0.2">
      <c r="B35" t="s">
        <v>99</v>
      </c>
      <c r="C35" s="12">
        <v>36</v>
      </c>
      <c r="D35" s="8">
        <v>2.41</v>
      </c>
      <c r="E35" s="12">
        <v>19</v>
      </c>
      <c r="F35" s="8">
        <v>2.19</v>
      </c>
      <c r="G35" s="12">
        <v>17</v>
      </c>
      <c r="H35" s="8">
        <v>2.79</v>
      </c>
      <c r="I35" s="12">
        <v>0</v>
      </c>
    </row>
    <row r="36" spans="2:9" ht="15" customHeight="1" x14ac:dyDescent="0.2">
      <c r="B36" t="s">
        <v>110</v>
      </c>
      <c r="C36" s="12">
        <v>34</v>
      </c>
      <c r="D36" s="8">
        <v>2.2799999999999998</v>
      </c>
      <c r="E36" s="12">
        <v>27</v>
      </c>
      <c r="F36" s="8">
        <v>3.12</v>
      </c>
      <c r="G36" s="12">
        <v>7</v>
      </c>
      <c r="H36" s="8">
        <v>1.1499999999999999</v>
      </c>
      <c r="I36" s="12">
        <v>0</v>
      </c>
    </row>
    <row r="37" spans="2:9" ht="15" customHeight="1" x14ac:dyDescent="0.2">
      <c r="B37" t="s">
        <v>116</v>
      </c>
      <c r="C37" s="12">
        <v>34</v>
      </c>
      <c r="D37" s="8">
        <v>2.2799999999999998</v>
      </c>
      <c r="E37" s="12">
        <v>0</v>
      </c>
      <c r="F37" s="8">
        <v>0</v>
      </c>
      <c r="G37" s="12">
        <v>33</v>
      </c>
      <c r="H37" s="8">
        <v>5.41</v>
      </c>
      <c r="I37" s="12">
        <v>0</v>
      </c>
    </row>
    <row r="38" spans="2:9" ht="15" customHeight="1" x14ac:dyDescent="0.2">
      <c r="B38" t="s">
        <v>111</v>
      </c>
      <c r="C38" s="12">
        <v>28</v>
      </c>
      <c r="D38" s="8">
        <v>1.88</v>
      </c>
      <c r="E38" s="12">
        <v>14</v>
      </c>
      <c r="F38" s="8">
        <v>1.62</v>
      </c>
      <c r="G38" s="12">
        <v>14</v>
      </c>
      <c r="H38" s="8">
        <v>2.2999999999999998</v>
      </c>
      <c r="I38" s="12">
        <v>0</v>
      </c>
    </row>
    <row r="39" spans="2:9" ht="15" customHeight="1" x14ac:dyDescent="0.2">
      <c r="B39" t="s">
        <v>118</v>
      </c>
      <c r="C39" s="12">
        <v>24</v>
      </c>
      <c r="D39" s="8">
        <v>1.61</v>
      </c>
      <c r="E39" s="12">
        <v>7</v>
      </c>
      <c r="F39" s="8">
        <v>0.81</v>
      </c>
      <c r="G39" s="12">
        <v>17</v>
      </c>
      <c r="H39" s="8">
        <v>2.79</v>
      </c>
      <c r="I39" s="12">
        <v>0</v>
      </c>
    </row>
    <row r="40" spans="2:9" ht="15" customHeight="1" x14ac:dyDescent="0.2">
      <c r="B40" t="s">
        <v>123</v>
      </c>
      <c r="C40" s="12">
        <v>22</v>
      </c>
      <c r="D40" s="8">
        <v>1.47</v>
      </c>
      <c r="E40" s="12">
        <v>16</v>
      </c>
      <c r="F40" s="8">
        <v>1.85</v>
      </c>
      <c r="G40" s="12">
        <v>6</v>
      </c>
      <c r="H40" s="8">
        <v>0.98</v>
      </c>
      <c r="I40" s="12">
        <v>0</v>
      </c>
    </row>
    <row r="41" spans="2:9" ht="15" customHeight="1" x14ac:dyDescent="0.2">
      <c r="B41" t="s">
        <v>124</v>
      </c>
      <c r="C41" s="12">
        <v>19</v>
      </c>
      <c r="D41" s="8">
        <v>1.27</v>
      </c>
      <c r="E41" s="12">
        <v>8</v>
      </c>
      <c r="F41" s="8">
        <v>0.92</v>
      </c>
      <c r="G41" s="12">
        <v>11</v>
      </c>
      <c r="H41" s="8">
        <v>1.8</v>
      </c>
      <c r="I41" s="12">
        <v>0</v>
      </c>
    </row>
    <row r="42" spans="2:9" ht="15" customHeight="1" x14ac:dyDescent="0.2">
      <c r="B42" t="s">
        <v>121</v>
      </c>
      <c r="C42" s="12">
        <v>19</v>
      </c>
      <c r="D42" s="8">
        <v>1.27</v>
      </c>
      <c r="E42" s="12">
        <v>12</v>
      </c>
      <c r="F42" s="8">
        <v>1.39</v>
      </c>
      <c r="G42" s="12">
        <v>7</v>
      </c>
      <c r="H42" s="8">
        <v>1.1499999999999999</v>
      </c>
      <c r="I42" s="12">
        <v>0</v>
      </c>
    </row>
    <row r="43" spans="2:9" ht="15" customHeight="1" x14ac:dyDescent="0.2">
      <c r="B43" t="s">
        <v>108</v>
      </c>
      <c r="C43" s="12">
        <v>18</v>
      </c>
      <c r="D43" s="8">
        <v>1.21</v>
      </c>
      <c r="E43" s="12">
        <v>1</v>
      </c>
      <c r="F43" s="8">
        <v>0.12</v>
      </c>
      <c r="G43" s="12">
        <v>17</v>
      </c>
      <c r="H43" s="8">
        <v>2.79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164</v>
      </c>
      <c r="C47" s="12">
        <v>94</v>
      </c>
      <c r="D47" s="8">
        <v>6.3</v>
      </c>
      <c r="E47" s="12">
        <v>74</v>
      </c>
      <c r="F47" s="8">
        <v>8.5500000000000007</v>
      </c>
      <c r="G47" s="12">
        <v>20</v>
      </c>
      <c r="H47" s="8">
        <v>3.28</v>
      </c>
      <c r="I47" s="12">
        <v>0</v>
      </c>
    </row>
    <row r="48" spans="2:9" ht="15" customHeight="1" x14ac:dyDescent="0.2">
      <c r="B48" t="s">
        <v>170</v>
      </c>
      <c r="C48" s="12">
        <v>90</v>
      </c>
      <c r="D48" s="8">
        <v>6.03</v>
      </c>
      <c r="E48" s="12">
        <v>82</v>
      </c>
      <c r="F48" s="8">
        <v>9.4700000000000006</v>
      </c>
      <c r="G48" s="12">
        <v>8</v>
      </c>
      <c r="H48" s="8">
        <v>1.31</v>
      </c>
      <c r="I48" s="12">
        <v>0</v>
      </c>
    </row>
    <row r="49" spans="2:9" ht="15" customHeight="1" x14ac:dyDescent="0.2">
      <c r="B49" t="s">
        <v>168</v>
      </c>
      <c r="C49" s="12">
        <v>58</v>
      </c>
      <c r="D49" s="8">
        <v>3.88</v>
      </c>
      <c r="E49" s="12">
        <v>57</v>
      </c>
      <c r="F49" s="8">
        <v>6.58</v>
      </c>
      <c r="G49" s="12">
        <v>1</v>
      </c>
      <c r="H49" s="8">
        <v>0.16</v>
      </c>
      <c r="I49" s="12">
        <v>0</v>
      </c>
    </row>
    <row r="50" spans="2:9" ht="15" customHeight="1" x14ac:dyDescent="0.2">
      <c r="B50" t="s">
        <v>154</v>
      </c>
      <c r="C50" s="12">
        <v>46</v>
      </c>
      <c r="D50" s="8">
        <v>3.08</v>
      </c>
      <c r="E50" s="12">
        <v>16</v>
      </c>
      <c r="F50" s="8">
        <v>1.85</v>
      </c>
      <c r="G50" s="12">
        <v>30</v>
      </c>
      <c r="H50" s="8">
        <v>4.92</v>
      </c>
      <c r="I50" s="12">
        <v>0</v>
      </c>
    </row>
    <row r="51" spans="2:9" ht="15" customHeight="1" x14ac:dyDescent="0.2">
      <c r="B51" t="s">
        <v>171</v>
      </c>
      <c r="C51" s="12">
        <v>42</v>
      </c>
      <c r="D51" s="8">
        <v>2.81</v>
      </c>
      <c r="E51" s="12">
        <v>37</v>
      </c>
      <c r="F51" s="8">
        <v>4.2699999999999996</v>
      </c>
      <c r="G51" s="12">
        <v>5</v>
      </c>
      <c r="H51" s="8">
        <v>0.82</v>
      </c>
      <c r="I51" s="12">
        <v>0</v>
      </c>
    </row>
    <row r="52" spans="2:9" ht="15" customHeight="1" x14ac:dyDescent="0.2">
      <c r="B52" t="s">
        <v>172</v>
      </c>
      <c r="C52" s="12">
        <v>41</v>
      </c>
      <c r="D52" s="8">
        <v>2.75</v>
      </c>
      <c r="E52" s="12">
        <v>35</v>
      </c>
      <c r="F52" s="8">
        <v>4.04</v>
      </c>
      <c r="G52" s="12">
        <v>6</v>
      </c>
      <c r="H52" s="8">
        <v>0.98</v>
      </c>
      <c r="I52" s="12">
        <v>0</v>
      </c>
    </row>
    <row r="53" spans="2:9" ht="15" customHeight="1" x14ac:dyDescent="0.2">
      <c r="B53" t="s">
        <v>169</v>
      </c>
      <c r="C53" s="12">
        <v>39</v>
      </c>
      <c r="D53" s="8">
        <v>2.61</v>
      </c>
      <c r="E53" s="12">
        <v>39</v>
      </c>
      <c r="F53" s="8">
        <v>4.5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161</v>
      </c>
      <c r="C54" s="12">
        <v>38</v>
      </c>
      <c r="D54" s="8">
        <v>2.5499999999999998</v>
      </c>
      <c r="E54" s="12">
        <v>23</v>
      </c>
      <c r="F54" s="8">
        <v>2.66</v>
      </c>
      <c r="G54" s="12">
        <v>15</v>
      </c>
      <c r="H54" s="8">
        <v>2.46</v>
      </c>
      <c r="I54" s="12">
        <v>0</v>
      </c>
    </row>
    <row r="55" spans="2:9" ht="15" customHeight="1" x14ac:dyDescent="0.2">
      <c r="B55" t="s">
        <v>166</v>
      </c>
      <c r="C55" s="12">
        <v>38</v>
      </c>
      <c r="D55" s="8">
        <v>2.5499999999999998</v>
      </c>
      <c r="E55" s="12">
        <v>25</v>
      </c>
      <c r="F55" s="8">
        <v>2.89</v>
      </c>
      <c r="G55" s="12">
        <v>13</v>
      </c>
      <c r="H55" s="8">
        <v>2.13</v>
      </c>
      <c r="I55" s="12">
        <v>0</v>
      </c>
    </row>
    <row r="56" spans="2:9" ht="15" customHeight="1" x14ac:dyDescent="0.2">
      <c r="B56" t="s">
        <v>167</v>
      </c>
      <c r="C56" s="12">
        <v>37</v>
      </c>
      <c r="D56" s="8">
        <v>2.48</v>
      </c>
      <c r="E56" s="12">
        <v>32</v>
      </c>
      <c r="F56" s="8">
        <v>3.7</v>
      </c>
      <c r="G56" s="12">
        <v>5</v>
      </c>
      <c r="H56" s="8">
        <v>0.82</v>
      </c>
      <c r="I56" s="12">
        <v>0</v>
      </c>
    </row>
    <row r="57" spans="2:9" ht="15" customHeight="1" x14ac:dyDescent="0.2">
      <c r="B57" t="s">
        <v>159</v>
      </c>
      <c r="C57" s="12">
        <v>33</v>
      </c>
      <c r="D57" s="8">
        <v>2.21</v>
      </c>
      <c r="E57" s="12">
        <v>16</v>
      </c>
      <c r="F57" s="8">
        <v>1.85</v>
      </c>
      <c r="G57" s="12">
        <v>17</v>
      </c>
      <c r="H57" s="8">
        <v>2.79</v>
      </c>
      <c r="I57" s="12">
        <v>0</v>
      </c>
    </row>
    <row r="58" spans="2:9" ht="15" customHeight="1" x14ac:dyDescent="0.2">
      <c r="B58" t="s">
        <v>155</v>
      </c>
      <c r="C58" s="12">
        <v>30</v>
      </c>
      <c r="D58" s="8">
        <v>2.0099999999999998</v>
      </c>
      <c r="E58" s="12">
        <v>6</v>
      </c>
      <c r="F58" s="8">
        <v>0.69</v>
      </c>
      <c r="G58" s="12">
        <v>24</v>
      </c>
      <c r="H58" s="8">
        <v>3.93</v>
      </c>
      <c r="I58" s="12">
        <v>0</v>
      </c>
    </row>
    <row r="59" spans="2:9" ht="15" customHeight="1" x14ac:dyDescent="0.2">
      <c r="B59" t="s">
        <v>160</v>
      </c>
      <c r="C59" s="12">
        <v>30</v>
      </c>
      <c r="D59" s="8">
        <v>2.0099999999999998</v>
      </c>
      <c r="E59" s="12">
        <v>10</v>
      </c>
      <c r="F59" s="8">
        <v>1.1499999999999999</v>
      </c>
      <c r="G59" s="12">
        <v>20</v>
      </c>
      <c r="H59" s="8">
        <v>3.28</v>
      </c>
      <c r="I59" s="12">
        <v>0</v>
      </c>
    </row>
    <row r="60" spans="2:9" ht="15" customHeight="1" x14ac:dyDescent="0.2">
      <c r="B60" t="s">
        <v>157</v>
      </c>
      <c r="C60" s="12">
        <v>29</v>
      </c>
      <c r="D60" s="8">
        <v>1.94</v>
      </c>
      <c r="E60" s="12">
        <v>12</v>
      </c>
      <c r="F60" s="8">
        <v>1.39</v>
      </c>
      <c r="G60" s="12">
        <v>17</v>
      </c>
      <c r="H60" s="8">
        <v>2.79</v>
      </c>
      <c r="I60" s="12">
        <v>0</v>
      </c>
    </row>
    <row r="61" spans="2:9" ht="15" customHeight="1" x14ac:dyDescent="0.2">
      <c r="B61" t="s">
        <v>175</v>
      </c>
      <c r="C61" s="12">
        <v>28</v>
      </c>
      <c r="D61" s="8">
        <v>1.88</v>
      </c>
      <c r="E61" s="12">
        <v>25</v>
      </c>
      <c r="F61" s="8">
        <v>2.89</v>
      </c>
      <c r="G61" s="12">
        <v>3</v>
      </c>
      <c r="H61" s="8">
        <v>0.49</v>
      </c>
      <c r="I61" s="12">
        <v>0</v>
      </c>
    </row>
    <row r="62" spans="2:9" ht="15" customHeight="1" x14ac:dyDescent="0.2">
      <c r="B62" t="s">
        <v>158</v>
      </c>
      <c r="C62" s="12">
        <v>24</v>
      </c>
      <c r="D62" s="8">
        <v>1.61</v>
      </c>
      <c r="E62" s="12">
        <v>18</v>
      </c>
      <c r="F62" s="8">
        <v>2.08</v>
      </c>
      <c r="G62" s="12">
        <v>6</v>
      </c>
      <c r="H62" s="8">
        <v>0.98</v>
      </c>
      <c r="I62" s="12">
        <v>0</v>
      </c>
    </row>
    <row r="63" spans="2:9" ht="15" customHeight="1" x14ac:dyDescent="0.2">
      <c r="B63" t="s">
        <v>156</v>
      </c>
      <c r="C63" s="12">
        <v>23</v>
      </c>
      <c r="D63" s="8">
        <v>1.54</v>
      </c>
      <c r="E63" s="12">
        <v>7</v>
      </c>
      <c r="F63" s="8">
        <v>0.81</v>
      </c>
      <c r="G63" s="12">
        <v>16</v>
      </c>
      <c r="H63" s="8">
        <v>2.62</v>
      </c>
      <c r="I63" s="12">
        <v>0</v>
      </c>
    </row>
    <row r="64" spans="2:9" ht="15" customHeight="1" x14ac:dyDescent="0.2">
      <c r="B64" t="s">
        <v>173</v>
      </c>
      <c r="C64" s="12">
        <v>22</v>
      </c>
      <c r="D64" s="8">
        <v>1.47</v>
      </c>
      <c r="E64" s="12">
        <v>16</v>
      </c>
      <c r="F64" s="8">
        <v>1.85</v>
      </c>
      <c r="G64" s="12">
        <v>6</v>
      </c>
      <c r="H64" s="8">
        <v>0.98</v>
      </c>
      <c r="I64" s="12">
        <v>0</v>
      </c>
    </row>
    <row r="65" spans="2:9" ht="15" customHeight="1" x14ac:dyDescent="0.2">
      <c r="B65" t="s">
        <v>186</v>
      </c>
      <c r="C65" s="12">
        <v>20</v>
      </c>
      <c r="D65" s="8">
        <v>1.34</v>
      </c>
      <c r="E65" s="12">
        <v>12</v>
      </c>
      <c r="F65" s="8">
        <v>1.39</v>
      </c>
      <c r="G65" s="12">
        <v>8</v>
      </c>
      <c r="H65" s="8">
        <v>1.31</v>
      </c>
      <c r="I65" s="12">
        <v>0</v>
      </c>
    </row>
    <row r="66" spans="2:9" ht="15" customHeight="1" x14ac:dyDescent="0.2">
      <c r="B66" t="s">
        <v>174</v>
      </c>
      <c r="C66" s="12">
        <v>19</v>
      </c>
      <c r="D66" s="8">
        <v>1.27</v>
      </c>
      <c r="E66" s="12">
        <v>8</v>
      </c>
      <c r="F66" s="8">
        <v>0.92</v>
      </c>
      <c r="G66" s="12">
        <v>11</v>
      </c>
      <c r="H66" s="8">
        <v>1.8</v>
      </c>
      <c r="I66" s="12">
        <v>0</v>
      </c>
    </row>
    <row r="67" spans="2:9" ht="15" customHeight="1" x14ac:dyDescent="0.2">
      <c r="B67" t="s">
        <v>163</v>
      </c>
      <c r="C67" s="12">
        <v>19</v>
      </c>
      <c r="D67" s="8">
        <v>1.27</v>
      </c>
      <c r="E67" s="12">
        <v>5</v>
      </c>
      <c r="F67" s="8">
        <v>0.57999999999999996</v>
      </c>
      <c r="G67" s="12">
        <v>14</v>
      </c>
      <c r="H67" s="8">
        <v>2.2999999999999998</v>
      </c>
      <c r="I67" s="12">
        <v>0</v>
      </c>
    </row>
    <row r="69" spans="2:9" ht="15" customHeight="1" x14ac:dyDescent="0.2">
      <c r="B69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F535A-5A05-443B-B0B0-25A17387FB50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315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1</v>
      </c>
      <c r="D5" s="8">
        <v>0.17</v>
      </c>
      <c r="E5" s="12">
        <v>0</v>
      </c>
      <c r="F5" s="8">
        <v>0</v>
      </c>
      <c r="G5" s="12">
        <v>1</v>
      </c>
      <c r="H5" s="8">
        <v>0.44</v>
      </c>
      <c r="I5" s="12">
        <v>0</v>
      </c>
    </row>
    <row r="6" spans="2:9" ht="15" customHeight="1" x14ac:dyDescent="0.2">
      <c r="B6" t="s">
        <v>76</v>
      </c>
      <c r="C6" s="12">
        <v>82</v>
      </c>
      <c r="D6" s="8">
        <v>13.67</v>
      </c>
      <c r="E6" s="12">
        <v>28</v>
      </c>
      <c r="F6" s="8">
        <v>7.95</v>
      </c>
      <c r="G6" s="12">
        <v>54</v>
      </c>
      <c r="H6" s="8">
        <v>23.79</v>
      </c>
      <c r="I6" s="12">
        <v>0</v>
      </c>
    </row>
    <row r="7" spans="2:9" ht="15" customHeight="1" x14ac:dyDescent="0.2">
      <c r="B7" t="s">
        <v>77</v>
      </c>
      <c r="C7" s="12">
        <v>40</v>
      </c>
      <c r="D7" s="8">
        <v>6.67</v>
      </c>
      <c r="E7" s="12">
        <v>15</v>
      </c>
      <c r="F7" s="8">
        <v>4.26</v>
      </c>
      <c r="G7" s="12">
        <v>24</v>
      </c>
      <c r="H7" s="8">
        <v>10.57</v>
      </c>
      <c r="I7" s="12">
        <v>1</v>
      </c>
    </row>
    <row r="8" spans="2:9" ht="15" customHeight="1" x14ac:dyDescent="0.2">
      <c r="B8" t="s">
        <v>78</v>
      </c>
      <c r="C8" s="12">
        <v>4</v>
      </c>
      <c r="D8" s="8">
        <v>0.67</v>
      </c>
      <c r="E8" s="12">
        <v>0</v>
      </c>
      <c r="F8" s="8">
        <v>0</v>
      </c>
      <c r="G8" s="12">
        <v>4</v>
      </c>
      <c r="H8" s="8">
        <v>1.76</v>
      </c>
      <c r="I8" s="12">
        <v>0</v>
      </c>
    </row>
    <row r="9" spans="2:9" ht="15" customHeight="1" x14ac:dyDescent="0.2">
      <c r="B9" t="s">
        <v>79</v>
      </c>
      <c r="C9" s="12">
        <v>1</v>
      </c>
      <c r="D9" s="8">
        <v>0.17</v>
      </c>
      <c r="E9" s="12">
        <v>0</v>
      </c>
      <c r="F9" s="8">
        <v>0</v>
      </c>
      <c r="G9" s="12">
        <v>1</v>
      </c>
      <c r="H9" s="8">
        <v>0.44</v>
      </c>
      <c r="I9" s="12">
        <v>0</v>
      </c>
    </row>
    <row r="10" spans="2:9" ht="15" customHeight="1" x14ac:dyDescent="0.2">
      <c r="B10" t="s">
        <v>80</v>
      </c>
      <c r="C10" s="12">
        <v>5</v>
      </c>
      <c r="D10" s="8">
        <v>0.83</v>
      </c>
      <c r="E10" s="12">
        <v>0</v>
      </c>
      <c r="F10" s="8">
        <v>0</v>
      </c>
      <c r="G10" s="12">
        <v>4</v>
      </c>
      <c r="H10" s="8">
        <v>1.76</v>
      </c>
      <c r="I10" s="12">
        <v>1</v>
      </c>
    </row>
    <row r="11" spans="2:9" ht="15" customHeight="1" x14ac:dyDescent="0.2">
      <c r="B11" t="s">
        <v>81</v>
      </c>
      <c r="C11" s="12">
        <v>158</v>
      </c>
      <c r="D11" s="8">
        <v>26.33</v>
      </c>
      <c r="E11" s="12">
        <v>102</v>
      </c>
      <c r="F11" s="8">
        <v>28.98</v>
      </c>
      <c r="G11" s="12">
        <v>55</v>
      </c>
      <c r="H11" s="8">
        <v>24.23</v>
      </c>
      <c r="I11" s="12">
        <v>1</v>
      </c>
    </row>
    <row r="12" spans="2:9" ht="15" customHeight="1" x14ac:dyDescent="0.2">
      <c r="B12" t="s">
        <v>82</v>
      </c>
      <c r="C12" s="12">
        <v>6</v>
      </c>
      <c r="D12" s="8">
        <v>1</v>
      </c>
      <c r="E12" s="12">
        <v>2</v>
      </c>
      <c r="F12" s="8">
        <v>0.56999999999999995</v>
      </c>
      <c r="G12" s="12">
        <v>4</v>
      </c>
      <c r="H12" s="8">
        <v>1.76</v>
      </c>
      <c r="I12" s="12">
        <v>0</v>
      </c>
    </row>
    <row r="13" spans="2:9" ht="15" customHeight="1" x14ac:dyDescent="0.2">
      <c r="B13" t="s">
        <v>83</v>
      </c>
      <c r="C13" s="12">
        <v>26</v>
      </c>
      <c r="D13" s="8">
        <v>4.33</v>
      </c>
      <c r="E13" s="12">
        <v>13</v>
      </c>
      <c r="F13" s="8">
        <v>3.69</v>
      </c>
      <c r="G13" s="12">
        <v>12</v>
      </c>
      <c r="H13" s="8">
        <v>5.29</v>
      </c>
      <c r="I13" s="12">
        <v>0</v>
      </c>
    </row>
    <row r="14" spans="2:9" ht="15" customHeight="1" x14ac:dyDescent="0.2">
      <c r="B14" t="s">
        <v>84</v>
      </c>
      <c r="C14" s="12">
        <v>19</v>
      </c>
      <c r="D14" s="8">
        <v>3.17</v>
      </c>
      <c r="E14" s="12">
        <v>9</v>
      </c>
      <c r="F14" s="8">
        <v>2.56</v>
      </c>
      <c r="G14" s="12">
        <v>10</v>
      </c>
      <c r="H14" s="8">
        <v>4.41</v>
      </c>
      <c r="I14" s="12">
        <v>0</v>
      </c>
    </row>
    <row r="15" spans="2:9" ht="15" customHeight="1" x14ac:dyDescent="0.2">
      <c r="B15" t="s">
        <v>85</v>
      </c>
      <c r="C15" s="12">
        <v>79</v>
      </c>
      <c r="D15" s="8">
        <v>13.17</v>
      </c>
      <c r="E15" s="12">
        <v>58</v>
      </c>
      <c r="F15" s="8">
        <v>16.48</v>
      </c>
      <c r="G15" s="12">
        <v>21</v>
      </c>
      <c r="H15" s="8">
        <v>9.25</v>
      </c>
      <c r="I15" s="12">
        <v>0</v>
      </c>
    </row>
    <row r="16" spans="2:9" ht="15" customHeight="1" x14ac:dyDescent="0.2">
      <c r="B16" t="s">
        <v>86</v>
      </c>
      <c r="C16" s="12">
        <v>87</v>
      </c>
      <c r="D16" s="8">
        <v>14.5</v>
      </c>
      <c r="E16" s="12">
        <v>72</v>
      </c>
      <c r="F16" s="8">
        <v>20.45</v>
      </c>
      <c r="G16" s="12">
        <v>14</v>
      </c>
      <c r="H16" s="8">
        <v>6.17</v>
      </c>
      <c r="I16" s="12">
        <v>0</v>
      </c>
    </row>
    <row r="17" spans="2:9" ht="15" customHeight="1" x14ac:dyDescent="0.2">
      <c r="B17" t="s">
        <v>87</v>
      </c>
      <c r="C17" s="12">
        <v>34</v>
      </c>
      <c r="D17" s="8">
        <v>5.67</v>
      </c>
      <c r="E17" s="12">
        <v>17</v>
      </c>
      <c r="F17" s="8">
        <v>4.83</v>
      </c>
      <c r="G17" s="12">
        <v>6</v>
      </c>
      <c r="H17" s="8">
        <v>2.64</v>
      </c>
      <c r="I17" s="12">
        <v>0</v>
      </c>
    </row>
    <row r="18" spans="2:9" ht="15" customHeight="1" x14ac:dyDescent="0.2">
      <c r="B18" t="s">
        <v>88</v>
      </c>
      <c r="C18" s="12">
        <v>31</v>
      </c>
      <c r="D18" s="8">
        <v>5.17</v>
      </c>
      <c r="E18" s="12">
        <v>23</v>
      </c>
      <c r="F18" s="8">
        <v>6.53</v>
      </c>
      <c r="G18" s="12">
        <v>7</v>
      </c>
      <c r="H18" s="8">
        <v>3.08</v>
      </c>
      <c r="I18" s="12">
        <v>0</v>
      </c>
    </row>
    <row r="19" spans="2:9" ht="15" customHeight="1" x14ac:dyDescent="0.2">
      <c r="B19" t="s">
        <v>89</v>
      </c>
      <c r="C19" s="12">
        <v>27</v>
      </c>
      <c r="D19" s="8">
        <v>4.5</v>
      </c>
      <c r="E19" s="12">
        <v>13</v>
      </c>
      <c r="F19" s="8">
        <v>3.69</v>
      </c>
      <c r="G19" s="12">
        <v>10</v>
      </c>
      <c r="H19" s="8">
        <v>4.41</v>
      </c>
      <c r="I19" s="12">
        <v>0</v>
      </c>
    </row>
    <row r="20" spans="2:9" ht="15" customHeight="1" x14ac:dyDescent="0.2">
      <c r="B20" s="9" t="s">
        <v>285</v>
      </c>
      <c r="C20" s="12">
        <f>SUM(LTBL_40214[総数／事業所数])</f>
        <v>600</v>
      </c>
      <c r="E20" s="12">
        <f>SUBTOTAL(109,LTBL_40214[個人／事業所数])</f>
        <v>352</v>
      </c>
      <c r="G20" s="12">
        <f>SUBTOTAL(109,LTBL_40214[法人／事業所数])</f>
        <v>227</v>
      </c>
      <c r="I20" s="12">
        <f>SUBTOTAL(109,LTBL_40214[法人以外の団体／事業所数])</f>
        <v>3</v>
      </c>
    </row>
    <row r="21" spans="2:9" ht="15" customHeight="1" x14ac:dyDescent="0.2">
      <c r="E21" s="11">
        <f>LTBL_40214[[#Totals],[個人／事業所数]]/LTBL_40214[[#Totals],[総数／事業所数]]</f>
        <v>0.58666666666666667</v>
      </c>
      <c r="G21" s="11">
        <f>LTBL_40214[[#Totals],[法人／事業所数]]/LTBL_40214[[#Totals],[総数／事業所数]]</f>
        <v>0.37833333333333335</v>
      </c>
      <c r="I21" s="11">
        <f>LTBL_40214[[#Totals],[法人以外の団体／事業所数]]/LTBL_40214[[#Totals],[総数／事業所数]]</f>
        <v>5.0000000000000001E-3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71</v>
      </c>
      <c r="D24" s="8">
        <v>11.83</v>
      </c>
      <c r="E24" s="12">
        <v>63</v>
      </c>
      <c r="F24" s="8">
        <v>17.899999999999999</v>
      </c>
      <c r="G24" s="12">
        <v>8</v>
      </c>
      <c r="H24" s="8">
        <v>3.52</v>
      </c>
      <c r="I24" s="12">
        <v>0</v>
      </c>
    </row>
    <row r="25" spans="2:9" ht="15" customHeight="1" x14ac:dyDescent="0.2">
      <c r="B25" t="s">
        <v>112</v>
      </c>
      <c r="C25" s="12">
        <v>58</v>
      </c>
      <c r="D25" s="8">
        <v>9.67</v>
      </c>
      <c r="E25" s="12">
        <v>51</v>
      </c>
      <c r="F25" s="8">
        <v>14.49</v>
      </c>
      <c r="G25" s="12">
        <v>7</v>
      </c>
      <c r="H25" s="8">
        <v>3.08</v>
      </c>
      <c r="I25" s="12">
        <v>0</v>
      </c>
    </row>
    <row r="26" spans="2:9" ht="15" customHeight="1" x14ac:dyDescent="0.2">
      <c r="B26" t="s">
        <v>98</v>
      </c>
      <c r="C26" s="12">
        <v>50</v>
      </c>
      <c r="D26" s="8">
        <v>8.33</v>
      </c>
      <c r="E26" s="12">
        <v>14</v>
      </c>
      <c r="F26" s="8">
        <v>3.98</v>
      </c>
      <c r="G26" s="12">
        <v>36</v>
      </c>
      <c r="H26" s="8">
        <v>15.86</v>
      </c>
      <c r="I26" s="12">
        <v>0</v>
      </c>
    </row>
    <row r="27" spans="2:9" ht="15" customHeight="1" x14ac:dyDescent="0.2">
      <c r="B27" t="s">
        <v>107</v>
      </c>
      <c r="C27" s="12">
        <v>48</v>
      </c>
      <c r="D27" s="8">
        <v>8</v>
      </c>
      <c r="E27" s="12">
        <v>28</v>
      </c>
      <c r="F27" s="8">
        <v>7.95</v>
      </c>
      <c r="G27" s="12">
        <v>19</v>
      </c>
      <c r="H27" s="8">
        <v>8.3699999999999992</v>
      </c>
      <c r="I27" s="12">
        <v>1</v>
      </c>
    </row>
    <row r="28" spans="2:9" ht="15" customHeight="1" x14ac:dyDescent="0.2">
      <c r="B28" t="s">
        <v>105</v>
      </c>
      <c r="C28" s="12">
        <v>43</v>
      </c>
      <c r="D28" s="8">
        <v>7.17</v>
      </c>
      <c r="E28" s="12">
        <v>37</v>
      </c>
      <c r="F28" s="8">
        <v>10.51</v>
      </c>
      <c r="G28" s="12">
        <v>6</v>
      </c>
      <c r="H28" s="8">
        <v>2.64</v>
      </c>
      <c r="I28" s="12">
        <v>0</v>
      </c>
    </row>
    <row r="29" spans="2:9" ht="15" customHeight="1" x14ac:dyDescent="0.2">
      <c r="B29" t="s">
        <v>114</v>
      </c>
      <c r="C29" s="12">
        <v>34</v>
      </c>
      <c r="D29" s="8">
        <v>5.67</v>
      </c>
      <c r="E29" s="12">
        <v>17</v>
      </c>
      <c r="F29" s="8">
        <v>4.83</v>
      </c>
      <c r="G29" s="12">
        <v>6</v>
      </c>
      <c r="H29" s="8">
        <v>2.64</v>
      </c>
      <c r="I29" s="12">
        <v>0</v>
      </c>
    </row>
    <row r="30" spans="2:9" ht="15" customHeight="1" x14ac:dyDescent="0.2">
      <c r="B30" t="s">
        <v>115</v>
      </c>
      <c r="C30" s="12">
        <v>26</v>
      </c>
      <c r="D30" s="8">
        <v>4.33</v>
      </c>
      <c r="E30" s="12">
        <v>23</v>
      </c>
      <c r="F30" s="8">
        <v>6.53</v>
      </c>
      <c r="G30" s="12">
        <v>3</v>
      </c>
      <c r="H30" s="8">
        <v>1.32</v>
      </c>
      <c r="I30" s="12">
        <v>0</v>
      </c>
    </row>
    <row r="31" spans="2:9" ht="15" customHeight="1" x14ac:dyDescent="0.2">
      <c r="B31" t="s">
        <v>106</v>
      </c>
      <c r="C31" s="12">
        <v>22</v>
      </c>
      <c r="D31" s="8">
        <v>3.67</v>
      </c>
      <c r="E31" s="12">
        <v>17</v>
      </c>
      <c r="F31" s="8">
        <v>4.83</v>
      </c>
      <c r="G31" s="12">
        <v>5</v>
      </c>
      <c r="H31" s="8">
        <v>2.2000000000000002</v>
      </c>
      <c r="I31" s="12">
        <v>0</v>
      </c>
    </row>
    <row r="32" spans="2:9" ht="15" customHeight="1" x14ac:dyDescent="0.2">
      <c r="B32" t="s">
        <v>121</v>
      </c>
      <c r="C32" s="12">
        <v>20</v>
      </c>
      <c r="D32" s="8">
        <v>3.33</v>
      </c>
      <c r="E32" s="12">
        <v>7</v>
      </c>
      <c r="F32" s="8">
        <v>1.99</v>
      </c>
      <c r="G32" s="12">
        <v>13</v>
      </c>
      <c r="H32" s="8">
        <v>5.73</v>
      </c>
      <c r="I32" s="12">
        <v>0</v>
      </c>
    </row>
    <row r="33" spans="2:9" ht="15" customHeight="1" x14ac:dyDescent="0.2">
      <c r="B33" t="s">
        <v>100</v>
      </c>
      <c r="C33" s="12">
        <v>19</v>
      </c>
      <c r="D33" s="8">
        <v>3.17</v>
      </c>
      <c r="E33" s="12">
        <v>6</v>
      </c>
      <c r="F33" s="8">
        <v>1.7</v>
      </c>
      <c r="G33" s="12">
        <v>13</v>
      </c>
      <c r="H33" s="8">
        <v>5.73</v>
      </c>
      <c r="I33" s="12">
        <v>0</v>
      </c>
    </row>
    <row r="34" spans="2:9" ht="15" customHeight="1" x14ac:dyDescent="0.2">
      <c r="B34" t="s">
        <v>109</v>
      </c>
      <c r="C34" s="12">
        <v>19</v>
      </c>
      <c r="D34" s="8">
        <v>3.17</v>
      </c>
      <c r="E34" s="12">
        <v>10</v>
      </c>
      <c r="F34" s="8">
        <v>2.84</v>
      </c>
      <c r="G34" s="12">
        <v>8</v>
      </c>
      <c r="H34" s="8">
        <v>3.52</v>
      </c>
      <c r="I34" s="12">
        <v>0</v>
      </c>
    </row>
    <row r="35" spans="2:9" ht="15" customHeight="1" x14ac:dyDescent="0.2">
      <c r="B35" t="s">
        <v>123</v>
      </c>
      <c r="C35" s="12">
        <v>14</v>
      </c>
      <c r="D35" s="8">
        <v>2.33</v>
      </c>
      <c r="E35" s="12">
        <v>12</v>
      </c>
      <c r="F35" s="8">
        <v>3.41</v>
      </c>
      <c r="G35" s="12">
        <v>2</v>
      </c>
      <c r="H35" s="8">
        <v>0.88</v>
      </c>
      <c r="I35" s="12">
        <v>0</v>
      </c>
    </row>
    <row r="36" spans="2:9" ht="15" customHeight="1" x14ac:dyDescent="0.2">
      <c r="B36" t="s">
        <v>99</v>
      </c>
      <c r="C36" s="12">
        <v>13</v>
      </c>
      <c r="D36" s="8">
        <v>2.17</v>
      </c>
      <c r="E36" s="12">
        <v>8</v>
      </c>
      <c r="F36" s="8">
        <v>2.27</v>
      </c>
      <c r="G36" s="12">
        <v>5</v>
      </c>
      <c r="H36" s="8">
        <v>2.2000000000000002</v>
      </c>
      <c r="I36" s="12">
        <v>0</v>
      </c>
    </row>
    <row r="37" spans="2:9" ht="15" customHeight="1" x14ac:dyDescent="0.2">
      <c r="B37" t="s">
        <v>104</v>
      </c>
      <c r="C37" s="12">
        <v>13</v>
      </c>
      <c r="D37" s="8">
        <v>2.17</v>
      </c>
      <c r="E37" s="12">
        <v>8</v>
      </c>
      <c r="F37" s="8">
        <v>2.27</v>
      </c>
      <c r="G37" s="12">
        <v>5</v>
      </c>
      <c r="H37" s="8">
        <v>2.2000000000000002</v>
      </c>
      <c r="I37" s="12">
        <v>0</v>
      </c>
    </row>
    <row r="38" spans="2:9" ht="15" customHeight="1" x14ac:dyDescent="0.2">
      <c r="B38" t="s">
        <v>118</v>
      </c>
      <c r="C38" s="12">
        <v>13</v>
      </c>
      <c r="D38" s="8">
        <v>2.17</v>
      </c>
      <c r="E38" s="12">
        <v>7</v>
      </c>
      <c r="F38" s="8">
        <v>1.99</v>
      </c>
      <c r="G38" s="12">
        <v>6</v>
      </c>
      <c r="H38" s="8">
        <v>2.64</v>
      </c>
      <c r="I38" s="12">
        <v>0</v>
      </c>
    </row>
    <row r="39" spans="2:9" ht="15" customHeight="1" x14ac:dyDescent="0.2">
      <c r="B39" t="s">
        <v>103</v>
      </c>
      <c r="C39" s="12">
        <v>12</v>
      </c>
      <c r="D39" s="8">
        <v>2</v>
      </c>
      <c r="E39" s="12">
        <v>4</v>
      </c>
      <c r="F39" s="8">
        <v>1.1399999999999999</v>
      </c>
      <c r="G39" s="12">
        <v>8</v>
      </c>
      <c r="H39" s="8">
        <v>3.52</v>
      </c>
      <c r="I39" s="12">
        <v>0</v>
      </c>
    </row>
    <row r="40" spans="2:9" ht="15" customHeight="1" x14ac:dyDescent="0.2">
      <c r="B40" t="s">
        <v>111</v>
      </c>
      <c r="C40" s="12">
        <v>11</v>
      </c>
      <c r="D40" s="8">
        <v>1.83</v>
      </c>
      <c r="E40" s="12">
        <v>3</v>
      </c>
      <c r="F40" s="8">
        <v>0.85</v>
      </c>
      <c r="G40" s="12">
        <v>8</v>
      </c>
      <c r="H40" s="8">
        <v>3.52</v>
      </c>
      <c r="I40" s="12">
        <v>0</v>
      </c>
    </row>
    <row r="41" spans="2:9" ht="15" customHeight="1" x14ac:dyDescent="0.2">
      <c r="B41" t="s">
        <v>130</v>
      </c>
      <c r="C41" s="12">
        <v>8</v>
      </c>
      <c r="D41" s="8">
        <v>1.33</v>
      </c>
      <c r="E41" s="12">
        <v>6</v>
      </c>
      <c r="F41" s="8">
        <v>1.7</v>
      </c>
      <c r="G41" s="12">
        <v>1</v>
      </c>
      <c r="H41" s="8">
        <v>0.44</v>
      </c>
      <c r="I41" s="12">
        <v>1</v>
      </c>
    </row>
    <row r="42" spans="2:9" ht="15" customHeight="1" x14ac:dyDescent="0.2">
      <c r="B42" t="s">
        <v>110</v>
      </c>
      <c r="C42" s="12">
        <v>8</v>
      </c>
      <c r="D42" s="8">
        <v>1.33</v>
      </c>
      <c r="E42" s="12">
        <v>6</v>
      </c>
      <c r="F42" s="8">
        <v>1.7</v>
      </c>
      <c r="G42" s="12">
        <v>2</v>
      </c>
      <c r="H42" s="8">
        <v>0.88</v>
      </c>
      <c r="I42" s="12">
        <v>0</v>
      </c>
    </row>
    <row r="43" spans="2:9" ht="15" customHeight="1" x14ac:dyDescent="0.2">
      <c r="B43" t="s">
        <v>119</v>
      </c>
      <c r="C43" s="12">
        <v>6</v>
      </c>
      <c r="D43" s="8">
        <v>1</v>
      </c>
      <c r="E43" s="12">
        <v>1</v>
      </c>
      <c r="F43" s="8">
        <v>0.28000000000000003</v>
      </c>
      <c r="G43" s="12">
        <v>5</v>
      </c>
      <c r="H43" s="8">
        <v>2.2000000000000002</v>
      </c>
      <c r="I43" s="12">
        <v>0</v>
      </c>
    </row>
    <row r="44" spans="2:9" ht="15" customHeight="1" x14ac:dyDescent="0.2">
      <c r="B44" t="s">
        <v>124</v>
      </c>
      <c r="C44" s="12">
        <v>6</v>
      </c>
      <c r="D44" s="8">
        <v>1</v>
      </c>
      <c r="E44" s="12">
        <v>2</v>
      </c>
      <c r="F44" s="8">
        <v>0.56999999999999995</v>
      </c>
      <c r="G44" s="12">
        <v>4</v>
      </c>
      <c r="H44" s="8">
        <v>1.76</v>
      </c>
      <c r="I44" s="12">
        <v>0</v>
      </c>
    </row>
    <row r="45" spans="2:9" ht="15" customHeight="1" x14ac:dyDescent="0.2">
      <c r="B45" t="s">
        <v>101</v>
      </c>
      <c r="C45" s="12">
        <v>6</v>
      </c>
      <c r="D45" s="8">
        <v>1</v>
      </c>
      <c r="E45" s="12">
        <v>3</v>
      </c>
      <c r="F45" s="8">
        <v>0.85</v>
      </c>
      <c r="G45" s="12">
        <v>3</v>
      </c>
      <c r="H45" s="8">
        <v>1.32</v>
      </c>
      <c r="I45" s="12">
        <v>0</v>
      </c>
    </row>
    <row r="46" spans="2:9" ht="15" customHeight="1" x14ac:dyDescent="0.2">
      <c r="B46" t="s">
        <v>122</v>
      </c>
      <c r="C46" s="12">
        <v>6</v>
      </c>
      <c r="D46" s="8">
        <v>1</v>
      </c>
      <c r="E46" s="12">
        <v>2</v>
      </c>
      <c r="F46" s="8">
        <v>0.56999999999999995</v>
      </c>
      <c r="G46" s="12">
        <v>4</v>
      </c>
      <c r="H46" s="8">
        <v>1.76</v>
      </c>
      <c r="I46" s="12">
        <v>0</v>
      </c>
    </row>
    <row r="49" spans="2:9" ht="33" customHeight="1" x14ac:dyDescent="0.2">
      <c r="B49" t="s">
        <v>287</v>
      </c>
      <c r="C49" s="10" t="s">
        <v>91</v>
      </c>
      <c r="D49" s="10" t="s">
        <v>92</v>
      </c>
      <c r="E49" s="10" t="s">
        <v>93</v>
      </c>
      <c r="F49" s="10" t="s">
        <v>94</v>
      </c>
      <c r="G49" s="10" t="s">
        <v>95</v>
      </c>
      <c r="H49" s="10" t="s">
        <v>96</v>
      </c>
      <c r="I49" s="10" t="s">
        <v>97</v>
      </c>
    </row>
    <row r="50" spans="2:9" ht="15" customHeight="1" x14ac:dyDescent="0.2">
      <c r="B50" t="s">
        <v>170</v>
      </c>
      <c r="C50" s="12">
        <v>44</v>
      </c>
      <c r="D50" s="8">
        <v>7.33</v>
      </c>
      <c r="E50" s="12">
        <v>42</v>
      </c>
      <c r="F50" s="8">
        <v>11.93</v>
      </c>
      <c r="G50" s="12">
        <v>2</v>
      </c>
      <c r="H50" s="8">
        <v>0.88</v>
      </c>
      <c r="I50" s="12">
        <v>0</v>
      </c>
    </row>
    <row r="51" spans="2:9" ht="15" customHeight="1" x14ac:dyDescent="0.2">
      <c r="B51" t="s">
        <v>154</v>
      </c>
      <c r="C51" s="12">
        <v>26</v>
      </c>
      <c r="D51" s="8">
        <v>4.33</v>
      </c>
      <c r="E51" s="12">
        <v>7</v>
      </c>
      <c r="F51" s="8">
        <v>1.99</v>
      </c>
      <c r="G51" s="12">
        <v>19</v>
      </c>
      <c r="H51" s="8">
        <v>8.3699999999999992</v>
      </c>
      <c r="I51" s="12">
        <v>0</v>
      </c>
    </row>
    <row r="52" spans="2:9" ht="15" customHeight="1" x14ac:dyDescent="0.2">
      <c r="B52" t="s">
        <v>169</v>
      </c>
      <c r="C52" s="12">
        <v>20</v>
      </c>
      <c r="D52" s="8">
        <v>3.33</v>
      </c>
      <c r="E52" s="12">
        <v>18</v>
      </c>
      <c r="F52" s="8">
        <v>5.1100000000000003</v>
      </c>
      <c r="G52" s="12">
        <v>2</v>
      </c>
      <c r="H52" s="8">
        <v>0.88</v>
      </c>
      <c r="I52" s="12">
        <v>0</v>
      </c>
    </row>
    <row r="53" spans="2:9" ht="15" customHeight="1" x14ac:dyDescent="0.2">
      <c r="B53" t="s">
        <v>168</v>
      </c>
      <c r="C53" s="12">
        <v>16</v>
      </c>
      <c r="D53" s="8">
        <v>2.67</v>
      </c>
      <c r="E53" s="12">
        <v>16</v>
      </c>
      <c r="F53" s="8">
        <v>4.55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164</v>
      </c>
      <c r="C54" s="12">
        <v>15</v>
      </c>
      <c r="D54" s="8">
        <v>2.5</v>
      </c>
      <c r="E54" s="12">
        <v>9</v>
      </c>
      <c r="F54" s="8">
        <v>2.56</v>
      </c>
      <c r="G54" s="12">
        <v>5</v>
      </c>
      <c r="H54" s="8">
        <v>2.2000000000000002</v>
      </c>
      <c r="I54" s="12">
        <v>0</v>
      </c>
    </row>
    <row r="55" spans="2:9" ht="15" customHeight="1" x14ac:dyDescent="0.2">
      <c r="B55" t="s">
        <v>161</v>
      </c>
      <c r="C55" s="12">
        <v>14</v>
      </c>
      <c r="D55" s="8">
        <v>2.33</v>
      </c>
      <c r="E55" s="12">
        <v>10</v>
      </c>
      <c r="F55" s="8">
        <v>2.84</v>
      </c>
      <c r="G55" s="12">
        <v>4</v>
      </c>
      <c r="H55" s="8">
        <v>1.76</v>
      </c>
      <c r="I55" s="12">
        <v>0</v>
      </c>
    </row>
    <row r="56" spans="2:9" ht="15" customHeight="1" x14ac:dyDescent="0.2">
      <c r="B56" t="s">
        <v>218</v>
      </c>
      <c r="C56" s="12">
        <v>14</v>
      </c>
      <c r="D56" s="8">
        <v>2.33</v>
      </c>
      <c r="E56" s="12">
        <v>1</v>
      </c>
      <c r="F56" s="8">
        <v>0.28000000000000003</v>
      </c>
      <c r="G56" s="12">
        <v>13</v>
      </c>
      <c r="H56" s="8">
        <v>5.73</v>
      </c>
      <c r="I56" s="12">
        <v>0</v>
      </c>
    </row>
    <row r="57" spans="2:9" ht="15" customHeight="1" x14ac:dyDescent="0.2">
      <c r="B57" t="s">
        <v>172</v>
      </c>
      <c r="C57" s="12">
        <v>14</v>
      </c>
      <c r="D57" s="8">
        <v>2.33</v>
      </c>
      <c r="E57" s="12">
        <v>13</v>
      </c>
      <c r="F57" s="8">
        <v>3.69</v>
      </c>
      <c r="G57" s="12">
        <v>1</v>
      </c>
      <c r="H57" s="8">
        <v>0.44</v>
      </c>
      <c r="I57" s="12">
        <v>0</v>
      </c>
    </row>
    <row r="58" spans="2:9" ht="15" customHeight="1" x14ac:dyDescent="0.2">
      <c r="B58" t="s">
        <v>173</v>
      </c>
      <c r="C58" s="12">
        <v>14</v>
      </c>
      <c r="D58" s="8">
        <v>2.33</v>
      </c>
      <c r="E58" s="12">
        <v>12</v>
      </c>
      <c r="F58" s="8">
        <v>3.41</v>
      </c>
      <c r="G58" s="12">
        <v>2</v>
      </c>
      <c r="H58" s="8">
        <v>0.88</v>
      </c>
      <c r="I58" s="12">
        <v>0</v>
      </c>
    </row>
    <row r="59" spans="2:9" ht="15" customHeight="1" x14ac:dyDescent="0.2">
      <c r="B59" t="s">
        <v>156</v>
      </c>
      <c r="C59" s="12">
        <v>11</v>
      </c>
      <c r="D59" s="8">
        <v>1.83</v>
      </c>
      <c r="E59" s="12">
        <v>4</v>
      </c>
      <c r="F59" s="8">
        <v>1.1399999999999999</v>
      </c>
      <c r="G59" s="12">
        <v>7</v>
      </c>
      <c r="H59" s="8">
        <v>3.08</v>
      </c>
      <c r="I59" s="12">
        <v>0</v>
      </c>
    </row>
    <row r="60" spans="2:9" ht="15" customHeight="1" x14ac:dyDescent="0.2">
      <c r="B60" t="s">
        <v>157</v>
      </c>
      <c r="C60" s="12">
        <v>11</v>
      </c>
      <c r="D60" s="8">
        <v>1.83</v>
      </c>
      <c r="E60" s="12">
        <v>6</v>
      </c>
      <c r="F60" s="8">
        <v>1.7</v>
      </c>
      <c r="G60" s="12">
        <v>5</v>
      </c>
      <c r="H60" s="8">
        <v>2.2000000000000002</v>
      </c>
      <c r="I60" s="12">
        <v>0</v>
      </c>
    </row>
    <row r="61" spans="2:9" ht="15" customHeight="1" x14ac:dyDescent="0.2">
      <c r="B61" t="s">
        <v>159</v>
      </c>
      <c r="C61" s="12">
        <v>11</v>
      </c>
      <c r="D61" s="8">
        <v>1.83</v>
      </c>
      <c r="E61" s="12">
        <v>9</v>
      </c>
      <c r="F61" s="8">
        <v>2.56</v>
      </c>
      <c r="G61" s="12">
        <v>2</v>
      </c>
      <c r="H61" s="8">
        <v>0.88</v>
      </c>
      <c r="I61" s="12">
        <v>0</v>
      </c>
    </row>
    <row r="62" spans="2:9" ht="15" customHeight="1" x14ac:dyDescent="0.2">
      <c r="B62" t="s">
        <v>166</v>
      </c>
      <c r="C62" s="12">
        <v>11</v>
      </c>
      <c r="D62" s="8">
        <v>1.83</v>
      </c>
      <c r="E62" s="12">
        <v>7</v>
      </c>
      <c r="F62" s="8">
        <v>1.99</v>
      </c>
      <c r="G62" s="12">
        <v>4</v>
      </c>
      <c r="H62" s="8">
        <v>1.76</v>
      </c>
      <c r="I62" s="12">
        <v>0</v>
      </c>
    </row>
    <row r="63" spans="2:9" ht="15" customHeight="1" x14ac:dyDescent="0.2">
      <c r="B63" t="s">
        <v>219</v>
      </c>
      <c r="C63" s="12">
        <v>11</v>
      </c>
      <c r="D63" s="8">
        <v>1.83</v>
      </c>
      <c r="E63" s="12">
        <v>0</v>
      </c>
      <c r="F63" s="8">
        <v>0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171</v>
      </c>
      <c r="C64" s="12">
        <v>11</v>
      </c>
      <c r="D64" s="8">
        <v>1.83</v>
      </c>
      <c r="E64" s="12">
        <v>8</v>
      </c>
      <c r="F64" s="8">
        <v>2.27</v>
      </c>
      <c r="G64" s="12">
        <v>3</v>
      </c>
      <c r="H64" s="8">
        <v>1.32</v>
      </c>
      <c r="I64" s="12">
        <v>0</v>
      </c>
    </row>
    <row r="65" spans="2:9" ht="15" customHeight="1" x14ac:dyDescent="0.2">
      <c r="B65" t="s">
        <v>181</v>
      </c>
      <c r="C65" s="12">
        <v>10</v>
      </c>
      <c r="D65" s="8">
        <v>1.67</v>
      </c>
      <c r="E65" s="12">
        <v>9</v>
      </c>
      <c r="F65" s="8">
        <v>2.56</v>
      </c>
      <c r="G65" s="12">
        <v>1</v>
      </c>
      <c r="H65" s="8">
        <v>0.44</v>
      </c>
      <c r="I65" s="12">
        <v>0</v>
      </c>
    </row>
    <row r="66" spans="2:9" ht="15" customHeight="1" x14ac:dyDescent="0.2">
      <c r="B66" t="s">
        <v>158</v>
      </c>
      <c r="C66" s="12">
        <v>10</v>
      </c>
      <c r="D66" s="8">
        <v>1.67</v>
      </c>
      <c r="E66" s="12">
        <v>8</v>
      </c>
      <c r="F66" s="8">
        <v>2.27</v>
      </c>
      <c r="G66" s="12">
        <v>2</v>
      </c>
      <c r="H66" s="8">
        <v>0.88</v>
      </c>
      <c r="I66" s="12">
        <v>0</v>
      </c>
    </row>
    <row r="67" spans="2:9" ht="15" customHeight="1" x14ac:dyDescent="0.2">
      <c r="B67" t="s">
        <v>179</v>
      </c>
      <c r="C67" s="12">
        <v>10</v>
      </c>
      <c r="D67" s="8">
        <v>1.67</v>
      </c>
      <c r="E67" s="12">
        <v>9</v>
      </c>
      <c r="F67" s="8">
        <v>2.56</v>
      </c>
      <c r="G67" s="12">
        <v>1</v>
      </c>
      <c r="H67" s="8">
        <v>0.44</v>
      </c>
      <c r="I67" s="12">
        <v>0</v>
      </c>
    </row>
    <row r="68" spans="2:9" ht="15" customHeight="1" x14ac:dyDescent="0.2">
      <c r="B68" t="s">
        <v>220</v>
      </c>
      <c r="C68" s="12">
        <v>10</v>
      </c>
      <c r="D68" s="8">
        <v>1.67</v>
      </c>
      <c r="E68" s="12">
        <v>9</v>
      </c>
      <c r="F68" s="8">
        <v>2.56</v>
      </c>
      <c r="G68" s="12">
        <v>1</v>
      </c>
      <c r="H68" s="8">
        <v>0.44</v>
      </c>
      <c r="I68" s="12">
        <v>0</v>
      </c>
    </row>
    <row r="69" spans="2:9" ht="15" customHeight="1" x14ac:dyDescent="0.2">
      <c r="B69" t="s">
        <v>208</v>
      </c>
      <c r="C69" s="12">
        <v>9</v>
      </c>
      <c r="D69" s="8">
        <v>1.5</v>
      </c>
      <c r="E69" s="12">
        <v>6</v>
      </c>
      <c r="F69" s="8">
        <v>1.7</v>
      </c>
      <c r="G69" s="12">
        <v>3</v>
      </c>
      <c r="H69" s="8">
        <v>1.32</v>
      </c>
      <c r="I69" s="12">
        <v>0</v>
      </c>
    </row>
    <row r="71" spans="2:9" ht="15" customHeight="1" x14ac:dyDescent="0.2">
      <c r="B71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4DDFB-A64E-40B4-BA45-08C473005E75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316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217</v>
      </c>
      <c r="D6" s="8">
        <v>23.95</v>
      </c>
      <c r="E6" s="12">
        <v>59</v>
      </c>
      <c r="F6" s="8">
        <v>11.66</v>
      </c>
      <c r="G6" s="12">
        <v>158</v>
      </c>
      <c r="H6" s="8">
        <v>40.619999999999997</v>
      </c>
      <c r="I6" s="12">
        <v>0</v>
      </c>
    </row>
    <row r="7" spans="2:9" ht="15" customHeight="1" x14ac:dyDescent="0.2">
      <c r="B7" t="s">
        <v>77</v>
      </c>
      <c r="C7" s="12">
        <v>39</v>
      </c>
      <c r="D7" s="8">
        <v>4.3</v>
      </c>
      <c r="E7" s="12">
        <v>19</v>
      </c>
      <c r="F7" s="8">
        <v>3.75</v>
      </c>
      <c r="G7" s="12">
        <v>19</v>
      </c>
      <c r="H7" s="8">
        <v>4.88</v>
      </c>
      <c r="I7" s="12">
        <v>1</v>
      </c>
    </row>
    <row r="8" spans="2:9" ht="15" customHeight="1" x14ac:dyDescent="0.2">
      <c r="B8" t="s">
        <v>78</v>
      </c>
      <c r="C8" s="12">
        <v>3</v>
      </c>
      <c r="D8" s="8">
        <v>0.33</v>
      </c>
      <c r="E8" s="12">
        <v>0</v>
      </c>
      <c r="F8" s="8">
        <v>0</v>
      </c>
      <c r="G8" s="12">
        <v>1</v>
      </c>
      <c r="H8" s="8">
        <v>0.26</v>
      </c>
      <c r="I8" s="12">
        <v>0</v>
      </c>
    </row>
    <row r="9" spans="2:9" ht="15" customHeight="1" x14ac:dyDescent="0.2">
      <c r="B9" t="s">
        <v>79</v>
      </c>
      <c r="C9" s="12">
        <v>4</v>
      </c>
      <c r="D9" s="8">
        <v>0.44</v>
      </c>
      <c r="E9" s="12">
        <v>1</v>
      </c>
      <c r="F9" s="8">
        <v>0.2</v>
      </c>
      <c r="G9" s="12">
        <v>3</v>
      </c>
      <c r="H9" s="8">
        <v>0.77</v>
      </c>
      <c r="I9" s="12">
        <v>0</v>
      </c>
    </row>
    <row r="10" spans="2:9" ht="15" customHeight="1" x14ac:dyDescent="0.2">
      <c r="B10" t="s">
        <v>80</v>
      </c>
      <c r="C10" s="12">
        <v>3</v>
      </c>
      <c r="D10" s="8">
        <v>0.33</v>
      </c>
      <c r="E10" s="12">
        <v>3</v>
      </c>
      <c r="F10" s="8">
        <v>0.59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81</v>
      </c>
      <c r="C11" s="12">
        <v>210</v>
      </c>
      <c r="D11" s="8">
        <v>23.18</v>
      </c>
      <c r="E11" s="12">
        <v>121</v>
      </c>
      <c r="F11" s="8">
        <v>23.91</v>
      </c>
      <c r="G11" s="12">
        <v>88</v>
      </c>
      <c r="H11" s="8">
        <v>22.62</v>
      </c>
      <c r="I11" s="12">
        <v>1</v>
      </c>
    </row>
    <row r="12" spans="2:9" ht="15" customHeight="1" x14ac:dyDescent="0.2">
      <c r="B12" t="s">
        <v>82</v>
      </c>
      <c r="C12" s="12">
        <v>8</v>
      </c>
      <c r="D12" s="8">
        <v>0.88</v>
      </c>
      <c r="E12" s="12">
        <v>3</v>
      </c>
      <c r="F12" s="8">
        <v>0.59</v>
      </c>
      <c r="G12" s="12">
        <v>5</v>
      </c>
      <c r="H12" s="8">
        <v>1.29</v>
      </c>
      <c r="I12" s="12">
        <v>0</v>
      </c>
    </row>
    <row r="13" spans="2:9" ht="15" customHeight="1" x14ac:dyDescent="0.2">
      <c r="B13" t="s">
        <v>83</v>
      </c>
      <c r="C13" s="12">
        <v>43</v>
      </c>
      <c r="D13" s="8">
        <v>4.75</v>
      </c>
      <c r="E13" s="12">
        <v>13</v>
      </c>
      <c r="F13" s="8">
        <v>2.57</v>
      </c>
      <c r="G13" s="12">
        <v>29</v>
      </c>
      <c r="H13" s="8">
        <v>7.46</v>
      </c>
      <c r="I13" s="12">
        <v>0</v>
      </c>
    </row>
    <row r="14" spans="2:9" ht="15" customHeight="1" x14ac:dyDescent="0.2">
      <c r="B14" t="s">
        <v>84</v>
      </c>
      <c r="C14" s="12">
        <v>41</v>
      </c>
      <c r="D14" s="8">
        <v>4.53</v>
      </c>
      <c r="E14" s="12">
        <v>26</v>
      </c>
      <c r="F14" s="8">
        <v>5.14</v>
      </c>
      <c r="G14" s="12">
        <v>14</v>
      </c>
      <c r="H14" s="8">
        <v>3.6</v>
      </c>
      <c r="I14" s="12">
        <v>0</v>
      </c>
    </row>
    <row r="15" spans="2:9" ht="15" customHeight="1" x14ac:dyDescent="0.2">
      <c r="B15" t="s">
        <v>85</v>
      </c>
      <c r="C15" s="12">
        <v>73</v>
      </c>
      <c r="D15" s="8">
        <v>8.06</v>
      </c>
      <c r="E15" s="12">
        <v>58</v>
      </c>
      <c r="F15" s="8">
        <v>11.46</v>
      </c>
      <c r="G15" s="12">
        <v>15</v>
      </c>
      <c r="H15" s="8">
        <v>3.86</v>
      </c>
      <c r="I15" s="12">
        <v>0</v>
      </c>
    </row>
    <row r="16" spans="2:9" ht="15" customHeight="1" x14ac:dyDescent="0.2">
      <c r="B16" t="s">
        <v>86</v>
      </c>
      <c r="C16" s="12">
        <v>149</v>
      </c>
      <c r="D16" s="8">
        <v>16.45</v>
      </c>
      <c r="E16" s="12">
        <v>122</v>
      </c>
      <c r="F16" s="8">
        <v>24.11</v>
      </c>
      <c r="G16" s="12">
        <v>25</v>
      </c>
      <c r="H16" s="8">
        <v>6.43</v>
      </c>
      <c r="I16" s="12">
        <v>1</v>
      </c>
    </row>
    <row r="17" spans="2:9" ht="15" customHeight="1" x14ac:dyDescent="0.2">
      <c r="B17" t="s">
        <v>87</v>
      </c>
      <c r="C17" s="12">
        <v>36</v>
      </c>
      <c r="D17" s="8">
        <v>3.97</v>
      </c>
      <c r="E17" s="12">
        <v>29</v>
      </c>
      <c r="F17" s="8">
        <v>5.73</v>
      </c>
      <c r="G17" s="12">
        <v>6</v>
      </c>
      <c r="H17" s="8">
        <v>1.54</v>
      </c>
      <c r="I17" s="12">
        <v>1</v>
      </c>
    </row>
    <row r="18" spans="2:9" ht="15" customHeight="1" x14ac:dyDescent="0.2">
      <c r="B18" t="s">
        <v>88</v>
      </c>
      <c r="C18" s="12">
        <v>51</v>
      </c>
      <c r="D18" s="8">
        <v>5.63</v>
      </c>
      <c r="E18" s="12">
        <v>35</v>
      </c>
      <c r="F18" s="8">
        <v>6.92</v>
      </c>
      <c r="G18" s="12">
        <v>16</v>
      </c>
      <c r="H18" s="8">
        <v>4.1100000000000003</v>
      </c>
      <c r="I18" s="12">
        <v>0</v>
      </c>
    </row>
    <row r="19" spans="2:9" ht="15" customHeight="1" x14ac:dyDescent="0.2">
      <c r="B19" t="s">
        <v>89</v>
      </c>
      <c r="C19" s="12">
        <v>29</v>
      </c>
      <c r="D19" s="8">
        <v>3.2</v>
      </c>
      <c r="E19" s="12">
        <v>17</v>
      </c>
      <c r="F19" s="8">
        <v>3.36</v>
      </c>
      <c r="G19" s="12">
        <v>10</v>
      </c>
      <c r="H19" s="8">
        <v>2.57</v>
      </c>
      <c r="I19" s="12">
        <v>1</v>
      </c>
    </row>
    <row r="20" spans="2:9" ht="15" customHeight="1" x14ac:dyDescent="0.2">
      <c r="B20" s="9" t="s">
        <v>285</v>
      </c>
      <c r="C20" s="12">
        <f>SUM(LTBL_40215[総数／事業所数])</f>
        <v>906</v>
      </c>
      <c r="E20" s="12">
        <f>SUBTOTAL(109,LTBL_40215[個人／事業所数])</f>
        <v>506</v>
      </c>
      <c r="G20" s="12">
        <f>SUBTOTAL(109,LTBL_40215[法人／事業所数])</f>
        <v>389</v>
      </c>
      <c r="I20" s="12">
        <f>SUBTOTAL(109,LTBL_40215[法人以外の団体／事業所数])</f>
        <v>5</v>
      </c>
    </row>
    <row r="21" spans="2:9" ht="15" customHeight="1" x14ac:dyDescent="0.2">
      <c r="E21" s="11">
        <f>LTBL_40215[[#Totals],[個人／事業所数]]/LTBL_40215[[#Totals],[総数／事業所数]]</f>
        <v>0.55849889624724058</v>
      </c>
      <c r="G21" s="11">
        <f>LTBL_40215[[#Totals],[法人／事業所数]]/LTBL_40215[[#Totals],[総数／事業所数]]</f>
        <v>0.42935982339955847</v>
      </c>
      <c r="I21" s="11">
        <f>LTBL_40215[[#Totals],[法人以外の団体／事業所数]]/LTBL_40215[[#Totals],[総数／事業所数]]</f>
        <v>5.5187637969094927E-3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121</v>
      </c>
      <c r="D24" s="8">
        <v>13.36</v>
      </c>
      <c r="E24" s="12">
        <v>107</v>
      </c>
      <c r="F24" s="8">
        <v>21.15</v>
      </c>
      <c r="G24" s="12">
        <v>14</v>
      </c>
      <c r="H24" s="8">
        <v>3.6</v>
      </c>
      <c r="I24" s="12">
        <v>0</v>
      </c>
    </row>
    <row r="25" spans="2:9" ht="15" customHeight="1" x14ac:dyDescent="0.2">
      <c r="B25" t="s">
        <v>98</v>
      </c>
      <c r="C25" s="12">
        <v>95</v>
      </c>
      <c r="D25" s="8">
        <v>10.49</v>
      </c>
      <c r="E25" s="12">
        <v>17</v>
      </c>
      <c r="F25" s="8">
        <v>3.36</v>
      </c>
      <c r="G25" s="12">
        <v>78</v>
      </c>
      <c r="H25" s="8">
        <v>20.05</v>
      </c>
      <c r="I25" s="12">
        <v>0</v>
      </c>
    </row>
    <row r="26" spans="2:9" ht="15" customHeight="1" x14ac:dyDescent="0.2">
      <c r="B26" t="s">
        <v>99</v>
      </c>
      <c r="C26" s="12">
        <v>62</v>
      </c>
      <c r="D26" s="8">
        <v>6.84</v>
      </c>
      <c r="E26" s="12">
        <v>26</v>
      </c>
      <c r="F26" s="8">
        <v>5.14</v>
      </c>
      <c r="G26" s="12">
        <v>36</v>
      </c>
      <c r="H26" s="8">
        <v>9.25</v>
      </c>
      <c r="I26" s="12">
        <v>0</v>
      </c>
    </row>
    <row r="27" spans="2:9" ht="15" customHeight="1" x14ac:dyDescent="0.2">
      <c r="B27" t="s">
        <v>112</v>
      </c>
      <c r="C27" s="12">
        <v>62</v>
      </c>
      <c r="D27" s="8">
        <v>6.84</v>
      </c>
      <c r="E27" s="12">
        <v>54</v>
      </c>
      <c r="F27" s="8">
        <v>10.67</v>
      </c>
      <c r="G27" s="12">
        <v>8</v>
      </c>
      <c r="H27" s="8">
        <v>2.06</v>
      </c>
      <c r="I27" s="12">
        <v>0</v>
      </c>
    </row>
    <row r="28" spans="2:9" ht="15" customHeight="1" x14ac:dyDescent="0.2">
      <c r="B28" t="s">
        <v>100</v>
      </c>
      <c r="C28" s="12">
        <v>60</v>
      </c>
      <c r="D28" s="8">
        <v>6.62</v>
      </c>
      <c r="E28" s="12">
        <v>16</v>
      </c>
      <c r="F28" s="8">
        <v>3.16</v>
      </c>
      <c r="G28" s="12">
        <v>44</v>
      </c>
      <c r="H28" s="8">
        <v>11.31</v>
      </c>
      <c r="I28" s="12">
        <v>0</v>
      </c>
    </row>
    <row r="29" spans="2:9" ht="15" customHeight="1" x14ac:dyDescent="0.2">
      <c r="B29" t="s">
        <v>107</v>
      </c>
      <c r="C29" s="12">
        <v>58</v>
      </c>
      <c r="D29" s="8">
        <v>6.4</v>
      </c>
      <c r="E29" s="12">
        <v>33</v>
      </c>
      <c r="F29" s="8">
        <v>6.52</v>
      </c>
      <c r="G29" s="12">
        <v>25</v>
      </c>
      <c r="H29" s="8">
        <v>6.43</v>
      </c>
      <c r="I29" s="12">
        <v>0</v>
      </c>
    </row>
    <row r="30" spans="2:9" ht="15" customHeight="1" x14ac:dyDescent="0.2">
      <c r="B30" t="s">
        <v>105</v>
      </c>
      <c r="C30" s="12">
        <v>55</v>
      </c>
      <c r="D30" s="8">
        <v>6.07</v>
      </c>
      <c r="E30" s="12">
        <v>39</v>
      </c>
      <c r="F30" s="8">
        <v>7.71</v>
      </c>
      <c r="G30" s="12">
        <v>15</v>
      </c>
      <c r="H30" s="8">
        <v>3.86</v>
      </c>
      <c r="I30" s="12">
        <v>1</v>
      </c>
    </row>
    <row r="31" spans="2:9" ht="15" customHeight="1" x14ac:dyDescent="0.2">
      <c r="B31" t="s">
        <v>115</v>
      </c>
      <c r="C31" s="12">
        <v>39</v>
      </c>
      <c r="D31" s="8">
        <v>4.3</v>
      </c>
      <c r="E31" s="12">
        <v>35</v>
      </c>
      <c r="F31" s="8">
        <v>6.92</v>
      </c>
      <c r="G31" s="12">
        <v>4</v>
      </c>
      <c r="H31" s="8">
        <v>1.03</v>
      </c>
      <c r="I31" s="12">
        <v>0</v>
      </c>
    </row>
    <row r="32" spans="2:9" ht="15" customHeight="1" x14ac:dyDescent="0.2">
      <c r="B32" t="s">
        <v>114</v>
      </c>
      <c r="C32" s="12">
        <v>36</v>
      </c>
      <c r="D32" s="8">
        <v>3.97</v>
      </c>
      <c r="E32" s="12">
        <v>29</v>
      </c>
      <c r="F32" s="8">
        <v>5.73</v>
      </c>
      <c r="G32" s="12">
        <v>6</v>
      </c>
      <c r="H32" s="8">
        <v>1.54</v>
      </c>
      <c r="I32" s="12">
        <v>1</v>
      </c>
    </row>
    <row r="33" spans="2:9" ht="15" customHeight="1" x14ac:dyDescent="0.2">
      <c r="B33" t="s">
        <v>106</v>
      </c>
      <c r="C33" s="12">
        <v>29</v>
      </c>
      <c r="D33" s="8">
        <v>3.2</v>
      </c>
      <c r="E33" s="12">
        <v>18</v>
      </c>
      <c r="F33" s="8">
        <v>3.56</v>
      </c>
      <c r="G33" s="12">
        <v>11</v>
      </c>
      <c r="H33" s="8">
        <v>2.83</v>
      </c>
      <c r="I33" s="12">
        <v>0</v>
      </c>
    </row>
    <row r="34" spans="2:9" ht="15" customHeight="1" x14ac:dyDescent="0.2">
      <c r="B34" t="s">
        <v>104</v>
      </c>
      <c r="C34" s="12">
        <v>26</v>
      </c>
      <c r="D34" s="8">
        <v>2.87</v>
      </c>
      <c r="E34" s="12">
        <v>9</v>
      </c>
      <c r="F34" s="8">
        <v>1.78</v>
      </c>
      <c r="G34" s="12">
        <v>17</v>
      </c>
      <c r="H34" s="8">
        <v>4.37</v>
      </c>
      <c r="I34" s="12">
        <v>0</v>
      </c>
    </row>
    <row r="35" spans="2:9" ht="15" customHeight="1" x14ac:dyDescent="0.2">
      <c r="B35" t="s">
        <v>109</v>
      </c>
      <c r="C35" s="12">
        <v>26</v>
      </c>
      <c r="D35" s="8">
        <v>2.87</v>
      </c>
      <c r="E35" s="12">
        <v>9</v>
      </c>
      <c r="F35" s="8">
        <v>1.78</v>
      </c>
      <c r="G35" s="12">
        <v>16</v>
      </c>
      <c r="H35" s="8">
        <v>4.1100000000000003</v>
      </c>
      <c r="I35" s="12">
        <v>0</v>
      </c>
    </row>
    <row r="36" spans="2:9" ht="15" customHeight="1" x14ac:dyDescent="0.2">
      <c r="B36" t="s">
        <v>110</v>
      </c>
      <c r="C36" s="12">
        <v>23</v>
      </c>
      <c r="D36" s="8">
        <v>2.54</v>
      </c>
      <c r="E36" s="12">
        <v>20</v>
      </c>
      <c r="F36" s="8">
        <v>3.95</v>
      </c>
      <c r="G36" s="12">
        <v>3</v>
      </c>
      <c r="H36" s="8">
        <v>0.77</v>
      </c>
      <c r="I36" s="12">
        <v>0</v>
      </c>
    </row>
    <row r="37" spans="2:9" ht="15" customHeight="1" x14ac:dyDescent="0.2">
      <c r="B37" t="s">
        <v>118</v>
      </c>
      <c r="C37" s="12">
        <v>21</v>
      </c>
      <c r="D37" s="8">
        <v>2.3199999999999998</v>
      </c>
      <c r="E37" s="12">
        <v>13</v>
      </c>
      <c r="F37" s="8">
        <v>2.57</v>
      </c>
      <c r="G37" s="12">
        <v>8</v>
      </c>
      <c r="H37" s="8">
        <v>2.06</v>
      </c>
      <c r="I37" s="12">
        <v>0</v>
      </c>
    </row>
    <row r="38" spans="2:9" ht="15" customHeight="1" x14ac:dyDescent="0.2">
      <c r="B38" t="s">
        <v>111</v>
      </c>
      <c r="C38" s="12">
        <v>17</v>
      </c>
      <c r="D38" s="8">
        <v>1.88</v>
      </c>
      <c r="E38" s="12">
        <v>6</v>
      </c>
      <c r="F38" s="8">
        <v>1.19</v>
      </c>
      <c r="G38" s="12">
        <v>10</v>
      </c>
      <c r="H38" s="8">
        <v>2.57</v>
      </c>
      <c r="I38" s="12">
        <v>0</v>
      </c>
    </row>
    <row r="39" spans="2:9" ht="15" customHeight="1" x14ac:dyDescent="0.2">
      <c r="B39" t="s">
        <v>123</v>
      </c>
      <c r="C39" s="12">
        <v>16</v>
      </c>
      <c r="D39" s="8">
        <v>1.77</v>
      </c>
      <c r="E39" s="12">
        <v>15</v>
      </c>
      <c r="F39" s="8">
        <v>2.96</v>
      </c>
      <c r="G39" s="12">
        <v>1</v>
      </c>
      <c r="H39" s="8">
        <v>0.26</v>
      </c>
      <c r="I39" s="12">
        <v>0</v>
      </c>
    </row>
    <row r="40" spans="2:9" ht="15" customHeight="1" x14ac:dyDescent="0.2">
      <c r="B40" t="s">
        <v>103</v>
      </c>
      <c r="C40" s="12">
        <v>14</v>
      </c>
      <c r="D40" s="8">
        <v>1.55</v>
      </c>
      <c r="E40" s="12">
        <v>6</v>
      </c>
      <c r="F40" s="8">
        <v>1.19</v>
      </c>
      <c r="G40" s="12">
        <v>8</v>
      </c>
      <c r="H40" s="8">
        <v>2.06</v>
      </c>
      <c r="I40" s="12">
        <v>0</v>
      </c>
    </row>
    <row r="41" spans="2:9" ht="15" customHeight="1" x14ac:dyDescent="0.2">
      <c r="B41" t="s">
        <v>108</v>
      </c>
      <c r="C41" s="12">
        <v>13</v>
      </c>
      <c r="D41" s="8">
        <v>1.43</v>
      </c>
      <c r="E41" s="12">
        <v>4</v>
      </c>
      <c r="F41" s="8">
        <v>0.79</v>
      </c>
      <c r="G41" s="12">
        <v>9</v>
      </c>
      <c r="H41" s="8">
        <v>2.31</v>
      </c>
      <c r="I41" s="12">
        <v>0</v>
      </c>
    </row>
    <row r="42" spans="2:9" ht="15" customHeight="1" x14ac:dyDescent="0.2">
      <c r="B42" t="s">
        <v>126</v>
      </c>
      <c r="C42" s="12">
        <v>12</v>
      </c>
      <c r="D42" s="8">
        <v>1.32</v>
      </c>
      <c r="E42" s="12">
        <v>6</v>
      </c>
      <c r="F42" s="8">
        <v>1.19</v>
      </c>
      <c r="G42" s="12">
        <v>6</v>
      </c>
      <c r="H42" s="8">
        <v>1.54</v>
      </c>
      <c r="I42" s="12">
        <v>0</v>
      </c>
    </row>
    <row r="43" spans="2:9" ht="15" customHeight="1" x14ac:dyDescent="0.2">
      <c r="B43" t="s">
        <v>116</v>
      </c>
      <c r="C43" s="12">
        <v>12</v>
      </c>
      <c r="D43" s="8">
        <v>1.32</v>
      </c>
      <c r="E43" s="12">
        <v>0</v>
      </c>
      <c r="F43" s="8">
        <v>0</v>
      </c>
      <c r="G43" s="12">
        <v>12</v>
      </c>
      <c r="H43" s="8">
        <v>3.08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170</v>
      </c>
      <c r="C47" s="12">
        <v>63</v>
      </c>
      <c r="D47" s="8">
        <v>6.95</v>
      </c>
      <c r="E47" s="12">
        <v>56</v>
      </c>
      <c r="F47" s="8">
        <v>11.07</v>
      </c>
      <c r="G47" s="12">
        <v>7</v>
      </c>
      <c r="H47" s="8">
        <v>1.8</v>
      </c>
      <c r="I47" s="12">
        <v>0</v>
      </c>
    </row>
    <row r="48" spans="2:9" ht="15" customHeight="1" x14ac:dyDescent="0.2">
      <c r="B48" t="s">
        <v>154</v>
      </c>
      <c r="C48" s="12">
        <v>49</v>
      </c>
      <c r="D48" s="8">
        <v>5.41</v>
      </c>
      <c r="E48" s="12">
        <v>6</v>
      </c>
      <c r="F48" s="8">
        <v>1.19</v>
      </c>
      <c r="G48" s="12">
        <v>43</v>
      </c>
      <c r="H48" s="8">
        <v>11.05</v>
      </c>
      <c r="I48" s="12">
        <v>0</v>
      </c>
    </row>
    <row r="49" spans="2:9" ht="15" customHeight="1" x14ac:dyDescent="0.2">
      <c r="B49" t="s">
        <v>169</v>
      </c>
      <c r="C49" s="12">
        <v>32</v>
      </c>
      <c r="D49" s="8">
        <v>3.53</v>
      </c>
      <c r="E49" s="12">
        <v>32</v>
      </c>
      <c r="F49" s="8">
        <v>6.32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172</v>
      </c>
      <c r="C50" s="12">
        <v>29</v>
      </c>
      <c r="D50" s="8">
        <v>3.2</v>
      </c>
      <c r="E50" s="12">
        <v>26</v>
      </c>
      <c r="F50" s="8">
        <v>5.14</v>
      </c>
      <c r="G50" s="12">
        <v>3</v>
      </c>
      <c r="H50" s="8">
        <v>0.77</v>
      </c>
      <c r="I50" s="12">
        <v>0</v>
      </c>
    </row>
    <row r="51" spans="2:9" ht="15" customHeight="1" x14ac:dyDescent="0.2">
      <c r="B51" t="s">
        <v>171</v>
      </c>
      <c r="C51" s="12">
        <v>25</v>
      </c>
      <c r="D51" s="8">
        <v>2.76</v>
      </c>
      <c r="E51" s="12">
        <v>20</v>
      </c>
      <c r="F51" s="8">
        <v>3.95</v>
      </c>
      <c r="G51" s="12">
        <v>4</v>
      </c>
      <c r="H51" s="8">
        <v>1.03</v>
      </c>
      <c r="I51" s="12">
        <v>1</v>
      </c>
    </row>
    <row r="52" spans="2:9" ht="15" customHeight="1" x14ac:dyDescent="0.2">
      <c r="B52" t="s">
        <v>158</v>
      </c>
      <c r="C52" s="12">
        <v>24</v>
      </c>
      <c r="D52" s="8">
        <v>2.65</v>
      </c>
      <c r="E52" s="12">
        <v>16</v>
      </c>
      <c r="F52" s="8">
        <v>3.16</v>
      </c>
      <c r="G52" s="12">
        <v>7</v>
      </c>
      <c r="H52" s="8">
        <v>1.8</v>
      </c>
      <c r="I52" s="12">
        <v>1</v>
      </c>
    </row>
    <row r="53" spans="2:9" ht="15" customHeight="1" x14ac:dyDescent="0.2">
      <c r="B53" t="s">
        <v>155</v>
      </c>
      <c r="C53" s="12">
        <v>23</v>
      </c>
      <c r="D53" s="8">
        <v>2.54</v>
      </c>
      <c r="E53" s="12">
        <v>3</v>
      </c>
      <c r="F53" s="8">
        <v>0.59</v>
      </c>
      <c r="G53" s="12">
        <v>20</v>
      </c>
      <c r="H53" s="8">
        <v>5.14</v>
      </c>
      <c r="I53" s="12">
        <v>0</v>
      </c>
    </row>
    <row r="54" spans="2:9" ht="15" customHeight="1" x14ac:dyDescent="0.2">
      <c r="B54" t="s">
        <v>174</v>
      </c>
      <c r="C54" s="12">
        <v>21</v>
      </c>
      <c r="D54" s="8">
        <v>2.3199999999999998</v>
      </c>
      <c r="E54" s="12">
        <v>10</v>
      </c>
      <c r="F54" s="8">
        <v>1.98</v>
      </c>
      <c r="G54" s="12">
        <v>11</v>
      </c>
      <c r="H54" s="8">
        <v>2.83</v>
      </c>
      <c r="I54" s="12">
        <v>0</v>
      </c>
    </row>
    <row r="55" spans="2:9" ht="15" customHeight="1" x14ac:dyDescent="0.2">
      <c r="B55" t="s">
        <v>156</v>
      </c>
      <c r="C55" s="12">
        <v>19</v>
      </c>
      <c r="D55" s="8">
        <v>2.1</v>
      </c>
      <c r="E55" s="12">
        <v>5</v>
      </c>
      <c r="F55" s="8">
        <v>0.99</v>
      </c>
      <c r="G55" s="12">
        <v>14</v>
      </c>
      <c r="H55" s="8">
        <v>3.6</v>
      </c>
      <c r="I55" s="12">
        <v>0</v>
      </c>
    </row>
    <row r="56" spans="2:9" ht="15" customHeight="1" x14ac:dyDescent="0.2">
      <c r="B56" t="s">
        <v>159</v>
      </c>
      <c r="C56" s="12">
        <v>19</v>
      </c>
      <c r="D56" s="8">
        <v>2.1</v>
      </c>
      <c r="E56" s="12">
        <v>13</v>
      </c>
      <c r="F56" s="8">
        <v>2.57</v>
      </c>
      <c r="G56" s="12">
        <v>6</v>
      </c>
      <c r="H56" s="8">
        <v>1.54</v>
      </c>
      <c r="I56" s="12">
        <v>0</v>
      </c>
    </row>
    <row r="57" spans="2:9" ht="15" customHeight="1" x14ac:dyDescent="0.2">
      <c r="B57" t="s">
        <v>160</v>
      </c>
      <c r="C57" s="12">
        <v>19</v>
      </c>
      <c r="D57" s="8">
        <v>2.1</v>
      </c>
      <c r="E57" s="12">
        <v>8</v>
      </c>
      <c r="F57" s="8">
        <v>1.58</v>
      </c>
      <c r="G57" s="12">
        <v>11</v>
      </c>
      <c r="H57" s="8">
        <v>2.83</v>
      </c>
      <c r="I57" s="12">
        <v>0</v>
      </c>
    </row>
    <row r="58" spans="2:9" ht="15" customHeight="1" x14ac:dyDescent="0.2">
      <c r="B58" t="s">
        <v>161</v>
      </c>
      <c r="C58" s="12">
        <v>18</v>
      </c>
      <c r="D58" s="8">
        <v>1.99</v>
      </c>
      <c r="E58" s="12">
        <v>14</v>
      </c>
      <c r="F58" s="8">
        <v>2.77</v>
      </c>
      <c r="G58" s="12">
        <v>4</v>
      </c>
      <c r="H58" s="8">
        <v>1.03</v>
      </c>
      <c r="I58" s="12">
        <v>0</v>
      </c>
    </row>
    <row r="59" spans="2:9" ht="15" customHeight="1" x14ac:dyDescent="0.2">
      <c r="B59" t="s">
        <v>166</v>
      </c>
      <c r="C59" s="12">
        <v>18</v>
      </c>
      <c r="D59" s="8">
        <v>1.99</v>
      </c>
      <c r="E59" s="12">
        <v>16</v>
      </c>
      <c r="F59" s="8">
        <v>3.16</v>
      </c>
      <c r="G59" s="12">
        <v>2</v>
      </c>
      <c r="H59" s="8">
        <v>0.51</v>
      </c>
      <c r="I59" s="12">
        <v>0</v>
      </c>
    </row>
    <row r="60" spans="2:9" ht="15" customHeight="1" x14ac:dyDescent="0.2">
      <c r="B60" t="s">
        <v>157</v>
      </c>
      <c r="C60" s="12">
        <v>17</v>
      </c>
      <c r="D60" s="8">
        <v>1.88</v>
      </c>
      <c r="E60" s="12">
        <v>7</v>
      </c>
      <c r="F60" s="8">
        <v>1.38</v>
      </c>
      <c r="G60" s="12">
        <v>10</v>
      </c>
      <c r="H60" s="8">
        <v>2.57</v>
      </c>
      <c r="I60" s="12">
        <v>0</v>
      </c>
    </row>
    <row r="61" spans="2:9" ht="15" customHeight="1" x14ac:dyDescent="0.2">
      <c r="B61" t="s">
        <v>173</v>
      </c>
      <c r="C61" s="12">
        <v>16</v>
      </c>
      <c r="D61" s="8">
        <v>1.77</v>
      </c>
      <c r="E61" s="12">
        <v>15</v>
      </c>
      <c r="F61" s="8">
        <v>2.96</v>
      </c>
      <c r="G61" s="12">
        <v>1</v>
      </c>
      <c r="H61" s="8">
        <v>0.26</v>
      </c>
      <c r="I61" s="12">
        <v>0</v>
      </c>
    </row>
    <row r="62" spans="2:9" ht="15" customHeight="1" x14ac:dyDescent="0.2">
      <c r="B62" t="s">
        <v>164</v>
      </c>
      <c r="C62" s="12">
        <v>15</v>
      </c>
      <c r="D62" s="8">
        <v>1.66</v>
      </c>
      <c r="E62" s="12">
        <v>7</v>
      </c>
      <c r="F62" s="8">
        <v>1.38</v>
      </c>
      <c r="G62" s="12">
        <v>7</v>
      </c>
      <c r="H62" s="8">
        <v>1.8</v>
      </c>
      <c r="I62" s="12">
        <v>0</v>
      </c>
    </row>
    <row r="63" spans="2:9" ht="15" customHeight="1" x14ac:dyDescent="0.2">
      <c r="B63" t="s">
        <v>203</v>
      </c>
      <c r="C63" s="12">
        <v>14</v>
      </c>
      <c r="D63" s="8">
        <v>1.55</v>
      </c>
      <c r="E63" s="12">
        <v>6</v>
      </c>
      <c r="F63" s="8">
        <v>1.19</v>
      </c>
      <c r="G63" s="12">
        <v>8</v>
      </c>
      <c r="H63" s="8">
        <v>2.06</v>
      </c>
      <c r="I63" s="12">
        <v>0</v>
      </c>
    </row>
    <row r="64" spans="2:9" ht="15" customHeight="1" x14ac:dyDescent="0.2">
      <c r="B64" t="s">
        <v>221</v>
      </c>
      <c r="C64" s="12">
        <v>14</v>
      </c>
      <c r="D64" s="8">
        <v>1.55</v>
      </c>
      <c r="E64" s="12">
        <v>1</v>
      </c>
      <c r="F64" s="8">
        <v>0.2</v>
      </c>
      <c r="G64" s="12">
        <v>13</v>
      </c>
      <c r="H64" s="8">
        <v>3.34</v>
      </c>
      <c r="I64" s="12">
        <v>0</v>
      </c>
    </row>
    <row r="65" spans="2:9" ht="15" customHeight="1" x14ac:dyDescent="0.2">
      <c r="B65" t="s">
        <v>182</v>
      </c>
      <c r="C65" s="12">
        <v>14</v>
      </c>
      <c r="D65" s="8">
        <v>1.55</v>
      </c>
      <c r="E65" s="12">
        <v>7</v>
      </c>
      <c r="F65" s="8">
        <v>1.38</v>
      </c>
      <c r="G65" s="12">
        <v>7</v>
      </c>
      <c r="H65" s="8">
        <v>1.8</v>
      </c>
      <c r="I65" s="12">
        <v>0</v>
      </c>
    </row>
    <row r="66" spans="2:9" ht="15" customHeight="1" x14ac:dyDescent="0.2">
      <c r="B66" t="s">
        <v>222</v>
      </c>
      <c r="C66" s="12">
        <v>14</v>
      </c>
      <c r="D66" s="8">
        <v>1.55</v>
      </c>
      <c r="E66" s="12">
        <v>10</v>
      </c>
      <c r="F66" s="8">
        <v>1.98</v>
      </c>
      <c r="G66" s="12">
        <v>4</v>
      </c>
      <c r="H66" s="8">
        <v>1.03</v>
      </c>
      <c r="I66" s="12">
        <v>0</v>
      </c>
    </row>
    <row r="68" spans="2:9" ht="15" customHeight="1" x14ac:dyDescent="0.2">
      <c r="B68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383AB-FD1F-4DA1-96FB-37222F9EB781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317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92</v>
      </c>
      <c r="D6" s="8">
        <v>10.91</v>
      </c>
      <c r="E6" s="12">
        <v>35</v>
      </c>
      <c r="F6" s="8">
        <v>7.13</v>
      </c>
      <c r="G6" s="12">
        <v>57</v>
      </c>
      <c r="H6" s="8">
        <v>16.809999999999999</v>
      </c>
      <c r="I6" s="12">
        <v>0</v>
      </c>
    </row>
    <row r="7" spans="2:9" ht="15" customHeight="1" x14ac:dyDescent="0.2">
      <c r="B7" t="s">
        <v>77</v>
      </c>
      <c r="C7" s="12">
        <v>24</v>
      </c>
      <c r="D7" s="8">
        <v>2.85</v>
      </c>
      <c r="E7" s="12">
        <v>11</v>
      </c>
      <c r="F7" s="8">
        <v>2.2400000000000002</v>
      </c>
      <c r="G7" s="12">
        <v>12</v>
      </c>
      <c r="H7" s="8">
        <v>3.54</v>
      </c>
      <c r="I7" s="12">
        <v>1</v>
      </c>
    </row>
    <row r="8" spans="2:9" ht="15" customHeight="1" x14ac:dyDescent="0.2">
      <c r="B8" t="s">
        <v>78</v>
      </c>
      <c r="C8" s="12">
        <v>1</v>
      </c>
      <c r="D8" s="8">
        <v>0.12</v>
      </c>
      <c r="E8" s="12">
        <v>0</v>
      </c>
      <c r="F8" s="8">
        <v>0</v>
      </c>
      <c r="G8" s="12">
        <v>1</v>
      </c>
      <c r="H8" s="8">
        <v>0.28999999999999998</v>
      </c>
      <c r="I8" s="12">
        <v>0</v>
      </c>
    </row>
    <row r="9" spans="2:9" ht="15" customHeight="1" x14ac:dyDescent="0.2">
      <c r="B9" t="s">
        <v>79</v>
      </c>
      <c r="C9" s="12">
        <v>8</v>
      </c>
      <c r="D9" s="8">
        <v>0.95</v>
      </c>
      <c r="E9" s="12">
        <v>0</v>
      </c>
      <c r="F9" s="8">
        <v>0</v>
      </c>
      <c r="G9" s="12">
        <v>8</v>
      </c>
      <c r="H9" s="8">
        <v>2.36</v>
      </c>
      <c r="I9" s="12">
        <v>0</v>
      </c>
    </row>
    <row r="10" spans="2:9" ht="15" customHeight="1" x14ac:dyDescent="0.2">
      <c r="B10" t="s">
        <v>80</v>
      </c>
      <c r="C10" s="12">
        <v>5</v>
      </c>
      <c r="D10" s="8">
        <v>0.59</v>
      </c>
      <c r="E10" s="12">
        <v>0</v>
      </c>
      <c r="F10" s="8">
        <v>0</v>
      </c>
      <c r="G10" s="12">
        <v>5</v>
      </c>
      <c r="H10" s="8">
        <v>1.47</v>
      </c>
      <c r="I10" s="12">
        <v>0</v>
      </c>
    </row>
    <row r="11" spans="2:9" ht="15" customHeight="1" x14ac:dyDescent="0.2">
      <c r="B11" t="s">
        <v>81</v>
      </c>
      <c r="C11" s="12">
        <v>208</v>
      </c>
      <c r="D11" s="8">
        <v>24.67</v>
      </c>
      <c r="E11" s="12">
        <v>104</v>
      </c>
      <c r="F11" s="8">
        <v>21.18</v>
      </c>
      <c r="G11" s="12">
        <v>103</v>
      </c>
      <c r="H11" s="8">
        <v>30.38</v>
      </c>
      <c r="I11" s="12">
        <v>1</v>
      </c>
    </row>
    <row r="12" spans="2:9" ht="15" customHeight="1" x14ac:dyDescent="0.2">
      <c r="B12" t="s">
        <v>82</v>
      </c>
      <c r="C12" s="12">
        <v>7</v>
      </c>
      <c r="D12" s="8">
        <v>0.83</v>
      </c>
      <c r="E12" s="12">
        <v>2</v>
      </c>
      <c r="F12" s="8">
        <v>0.41</v>
      </c>
      <c r="G12" s="12">
        <v>5</v>
      </c>
      <c r="H12" s="8">
        <v>1.47</v>
      </c>
      <c r="I12" s="12">
        <v>0</v>
      </c>
    </row>
    <row r="13" spans="2:9" ht="15" customHeight="1" x14ac:dyDescent="0.2">
      <c r="B13" t="s">
        <v>83</v>
      </c>
      <c r="C13" s="12">
        <v>103</v>
      </c>
      <c r="D13" s="8">
        <v>12.22</v>
      </c>
      <c r="E13" s="12">
        <v>61</v>
      </c>
      <c r="F13" s="8">
        <v>12.42</v>
      </c>
      <c r="G13" s="12">
        <v>42</v>
      </c>
      <c r="H13" s="8">
        <v>12.39</v>
      </c>
      <c r="I13" s="12">
        <v>0</v>
      </c>
    </row>
    <row r="14" spans="2:9" ht="15" customHeight="1" x14ac:dyDescent="0.2">
      <c r="B14" t="s">
        <v>84</v>
      </c>
      <c r="C14" s="12">
        <v>50</v>
      </c>
      <c r="D14" s="8">
        <v>5.93</v>
      </c>
      <c r="E14" s="12">
        <v>21</v>
      </c>
      <c r="F14" s="8">
        <v>4.28</v>
      </c>
      <c r="G14" s="12">
        <v>28</v>
      </c>
      <c r="H14" s="8">
        <v>8.26</v>
      </c>
      <c r="I14" s="12">
        <v>0</v>
      </c>
    </row>
    <row r="15" spans="2:9" ht="15" customHeight="1" x14ac:dyDescent="0.2">
      <c r="B15" t="s">
        <v>85</v>
      </c>
      <c r="C15" s="12">
        <v>86</v>
      </c>
      <c r="D15" s="8">
        <v>10.199999999999999</v>
      </c>
      <c r="E15" s="12">
        <v>75</v>
      </c>
      <c r="F15" s="8">
        <v>15.27</v>
      </c>
      <c r="G15" s="12">
        <v>11</v>
      </c>
      <c r="H15" s="8">
        <v>3.24</v>
      </c>
      <c r="I15" s="12">
        <v>0</v>
      </c>
    </row>
    <row r="16" spans="2:9" ht="15" customHeight="1" x14ac:dyDescent="0.2">
      <c r="B16" t="s">
        <v>86</v>
      </c>
      <c r="C16" s="12">
        <v>118</v>
      </c>
      <c r="D16" s="8">
        <v>14</v>
      </c>
      <c r="E16" s="12">
        <v>94</v>
      </c>
      <c r="F16" s="8">
        <v>19.14</v>
      </c>
      <c r="G16" s="12">
        <v>23</v>
      </c>
      <c r="H16" s="8">
        <v>6.78</v>
      </c>
      <c r="I16" s="12">
        <v>0</v>
      </c>
    </row>
    <row r="17" spans="2:9" ht="15" customHeight="1" x14ac:dyDescent="0.2">
      <c r="B17" t="s">
        <v>87</v>
      </c>
      <c r="C17" s="12">
        <v>41</v>
      </c>
      <c r="D17" s="8">
        <v>4.8600000000000003</v>
      </c>
      <c r="E17" s="12">
        <v>33</v>
      </c>
      <c r="F17" s="8">
        <v>6.72</v>
      </c>
      <c r="G17" s="12">
        <v>8</v>
      </c>
      <c r="H17" s="8">
        <v>2.36</v>
      </c>
      <c r="I17" s="12">
        <v>0</v>
      </c>
    </row>
    <row r="18" spans="2:9" ht="15" customHeight="1" x14ac:dyDescent="0.2">
      <c r="B18" t="s">
        <v>88</v>
      </c>
      <c r="C18" s="12">
        <v>52</v>
      </c>
      <c r="D18" s="8">
        <v>6.17</v>
      </c>
      <c r="E18" s="12">
        <v>31</v>
      </c>
      <c r="F18" s="8">
        <v>6.31</v>
      </c>
      <c r="G18" s="12">
        <v>21</v>
      </c>
      <c r="H18" s="8">
        <v>6.19</v>
      </c>
      <c r="I18" s="12">
        <v>0</v>
      </c>
    </row>
    <row r="19" spans="2:9" ht="15" customHeight="1" x14ac:dyDescent="0.2">
      <c r="B19" t="s">
        <v>89</v>
      </c>
      <c r="C19" s="12">
        <v>48</v>
      </c>
      <c r="D19" s="8">
        <v>5.69</v>
      </c>
      <c r="E19" s="12">
        <v>24</v>
      </c>
      <c r="F19" s="8">
        <v>4.8899999999999997</v>
      </c>
      <c r="G19" s="12">
        <v>15</v>
      </c>
      <c r="H19" s="8">
        <v>4.42</v>
      </c>
      <c r="I19" s="12">
        <v>0</v>
      </c>
    </row>
    <row r="20" spans="2:9" ht="15" customHeight="1" x14ac:dyDescent="0.2">
      <c r="B20" s="9" t="s">
        <v>285</v>
      </c>
      <c r="C20" s="12">
        <f>SUM(LTBL_40216[総数／事業所数])</f>
        <v>843</v>
      </c>
      <c r="E20" s="12">
        <f>SUBTOTAL(109,LTBL_40216[個人／事業所数])</f>
        <v>491</v>
      </c>
      <c r="G20" s="12">
        <f>SUBTOTAL(109,LTBL_40216[法人／事業所数])</f>
        <v>339</v>
      </c>
      <c r="I20" s="12">
        <f>SUBTOTAL(109,LTBL_40216[法人以外の団体／事業所数])</f>
        <v>2</v>
      </c>
    </row>
    <row r="21" spans="2:9" ht="15" customHeight="1" x14ac:dyDescent="0.2">
      <c r="E21" s="11">
        <f>LTBL_40216[[#Totals],[個人／事業所数]]/LTBL_40216[[#Totals],[総数／事業所数]]</f>
        <v>0.58244365361803085</v>
      </c>
      <c r="G21" s="11">
        <f>LTBL_40216[[#Totals],[法人／事業所数]]/LTBL_40216[[#Totals],[総数／事業所数]]</f>
        <v>0.40213523131672596</v>
      </c>
      <c r="I21" s="11">
        <f>LTBL_40216[[#Totals],[法人以外の団体／事業所数]]/LTBL_40216[[#Totals],[総数／事業所数]]</f>
        <v>2.3724792408066431E-3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92</v>
      </c>
      <c r="D24" s="8">
        <v>10.91</v>
      </c>
      <c r="E24" s="12">
        <v>81</v>
      </c>
      <c r="F24" s="8">
        <v>16.5</v>
      </c>
      <c r="G24" s="12">
        <v>11</v>
      </c>
      <c r="H24" s="8">
        <v>3.24</v>
      </c>
      <c r="I24" s="12">
        <v>0</v>
      </c>
    </row>
    <row r="25" spans="2:9" ht="15" customHeight="1" x14ac:dyDescent="0.2">
      <c r="B25" t="s">
        <v>109</v>
      </c>
      <c r="C25" s="12">
        <v>91</v>
      </c>
      <c r="D25" s="8">
        <v>10.79</v>
      </c>
      <c r="E25" s="12">
        <v>58</v>
      </c>
      <c r="F25" s="8">
        <v>11.81</v>
      </c>
      <c r="G25" s="12">
        <v>33</v>
      </c>
      <c r="H25" s="8">
        <v>9.73</v>
      </c>
      <c r="I25" s="12">
        <v>0</v>
      </c>
    </row>
    <row r="26" spans="2:9" ht="15" customHeight="1" x14ac:dyDescent="0.2">
      <c r="B26" t="s">
        <v>112</v>
      </c>
      <c r="C26" s="12">
        <v>75</v>
      </c>
      <c r="D26" s="8">
        <v>8.9</v>
      </c>
      <c r="E26" s="12">
        <v>71</v>
      </c>
      <c r="F26" s="8">
        <v>14.46</v>
      </c>
      <c r="G26" s="12">
        <v>4</v>
      </c>
      <c r="H26" s="8">
        <v>1.18</v>
      </c>
      <c r="I26" s="12">
        <v>0</v>
      </c>
    </row>
    <row r="27" spans="2:9" ht="15" customHeight="1" x14ac:dyDescent="0.2">
      <c r="B27" t="s">
        <v>107</v>
      </c>
      <c r="C27" s="12">
        <v>66</v>
      </c>
      <c r="D27" s="8">
        <v>7.83</v>
      </c>
      <c r="E27" s="12">
        <v>37</v>
      </c>
      <c r="F27" s="8">
        <v>7.54</v>
      </c>
      <c r="G27" s="12">
        <v>29</v>
      </c>
      <c r="H27" s="8">
        <v>8.5500000000000007</v>
      </c>
      <c r="I27" s="12">
        <v>0</v>
      </c>
    </row>
    <row r="28" spans="2:9" ht="15" customHeight="1" x14ac:dyDescent="0.2">
      <c r="B28" t="s">
        <v>98</v>
      </c>
      <c r="C28" s="12">
        <v>52</v>
      </c>
      <c r="D28" s="8">
        <v>6.17</v>
      </c>
      <c r="E28" s="12">
        <v>18</v>
      </c>
      <c r="F28" s="8">
        <v>3.67</v>
      </c>
      <c r="G28" s="12">
        <v>34</v>
      </c>
      <c r="H28" s="8">
        <v>10.029999999999999</v>
      </c>
      <c r="I28" s="12">
        <v>0</v>
      </c>
    </row>
    <row r="29" spans="2:9" ht="15" customHeight="1" x14ac:dyDescent="0.2">
      <c r="B29" t="s">
        <v>105</v>
      </c>
      <c r="C29" s="12">
        <v>42</v>
      </c>
      <c r="D29" s="8">
        <v>4.9800000000000004</v>
      </c>
      <c r="E29" s="12">
        <v>29</v>
      </c>
      <c r="F29" s="8">
        <v>5.91</v>
      </c>
      <c r="G29" s="12">
        <v>12</v>
      </c>
      <c r="H29" s="8">
        <v>3.54</v>
      </c>
      <c r="I29" s="12">
        <v>1</v>
      </c>
    </row>
    <row r="30" spans="2:9" ht="15" customHeight="1" x14ac:dyDescent="0.2">
      <c r="B30" t="s">
        <v>114</v>
      </c>
      <c r="C30" s="12">
        <v>41</v>
      </c>
      <c r="D30" s="8">
        <v>4.8600000000000003</v>
      </c>
      <c r="E30" s="12">
        <v>33</v>
      </c>
      <c r="F30" s="8">
        <v>6.72</v>
      </c>
      <c r="G30" s="12">
        <v>8</v>
      </c>
      <c r="H30" s="8">
        <v>2.36</v>
      </c>
      <c r="I30" s="12">
        <v>0</v>
      </c>
    </row>
    <row r="31" spans="2:9" ht="15" customHeight="1" x14ac:dyDescent="0.2">
      <c r="B31" t="s">
        <v>115</v>
      </c>
      <c r="C31" s="12">
        <v>32</v>
      </c>
      <c r="D31" s="8">
        <v>3.8</v>
      </c>
      <c r="E31" s="12">
        <v>30</v>
      </c>
      <c r="F31" s="8">
        <v>6.11</v>
      </c>
      <c r="G31" s="12">
        <v>2</v>
      </c>
      <c r="H31" s="8">
        <v>0.59</v>
      </c>
      <c r="I31" s="12">
        <v>0</v>
      </c>
    </row>
    <row r="32" spans="2:9" ht="15" customHeight="1" x14ac:dyDescent="0.2">
      <c r="B32" t="s">
        <v>110</v>
      </c>
      <c r="C32" s="12">
        <v>31</v>
      </c>
      <c r="D32" s="8">
        <v>3.68</v>
      </c>
      <c r="E32" s="12">
        <v>18</v>
      </c>
      <c r="F32" s="8">
        <v>3.67</v>
      </c>
      <c r="G32" s="12">
        <v>13</v>
      </c>
      <c r="H32" s="8">
        <v>3.83</v>
      </c>
      <c r="I32" s="12">
        <v>0</v>
      </c>
    </row>
    <row r="33" spans="2:9" ht="15" customHeight="1" x14ac:dyDescent="0.2">
      <c r="B33" t="s">
        <v>106</v>
      </c>
      <c r="C33" s="12">
        <v>29</v>
      </c>
      <c r="D33" s="8">
        <v>3.44</v>
      </c>
      <c r="E33" s="12">
        <v>16</v>
      </c>
      <c r="F33" s="8">
        <v>3.26</v>
      </c>
      <c r="G33" s="12">
        <v>13</v>
      </c>
      <c r="H33" s="8">
        <v>3.83</v>
      </c>
      <c r="I33" s="12">
        <v>0</v>
      </c>
    </row>
    <row r="34" spans="2:9" ht="15" customHeight="1" x14ac:dyDescent="0.2">
      <c r="B34" t="s">
        <v>99</v>
      </c>
      <c r="C34" s="12">
        <v>21</v>
      </c>
      <c r="D34" s="8">
        <v>2.4900000000000002</v>
      </c>
      <c r="E34" s="12">
        <v>10</v>
      </c>
      <c r="F34" s="8">
        <v>2.04</v>
      </c>
      <c r="G34" s="12">
        <v>11</v>
      </c>
      <c r="H34" s="8">
        <v>3.24</v>
      </c>
      <c r="I34" s="12">
        <v>0</v>
      </c>
    </row>
    <row r="35" spans="2:9" ht="15" customHeight="1" x14ac:dyDescent="0.2">
      <c r="B35" t="s">
        <v>104</v>
      </c>
      <c r="C35" s="12">
        <v>20</v>
      </c>
      <c r="D35" s="8">
        <v>2.37</v>
      </c>
      <c r="E35" s="12">
        <v>13</v>
      </c>
      <c r="F35" s="8">
        <v>2.65</v>
      </c>
      <c r="G35" s="12">
        <v>7</v>
      </c>
      <c r="H35" s="8">
        <v>2.06</v>
      </c>
      <c r="I35" s="12">
        <v>0</v>
      </c>
    </row>
    <row r="36" spans="2:9" ht="15" customHeight="1" x14ac:dyDescent="0.2">
      <c r="B36" t="s">
        <v>116</v>
      </c>
      <c r="C36" s="12">
        <v>20</v>
      </c>
      <c r="D36" s="8">
        <v>2.37</v>
      </c>
      <c r="E36" s="12">
        <v>1</v>
      </c>
      <c r="F36" s="8">
        <v>0.2</v>
      </c>
      <c r="G36" s="12">
        <v>19</v>
      </c>
      <c r="H36" s="8">
        <v>5.6</v>
      </c>
      <c r="I36" s="12">
        <v>0</v>
      </c>
    </row>
    <row r="37" spans="2:9" ht="15" customHeight="1" x14ac:dyDescent="0.2">
      <c r="B37" t="s">
        <v>100</v>
      </c>
      <c r="C37" s="12">
        <v>19</v>
      </c>
      <c r="D37" s="8">
        <v>2.25</v>
      </c>
      <c r="E37" s="12">
        <v>7</v>
      </c>
      <c r="F37" s="8">
        <v>1.43</v>
      </c>
      <c r="G37" s="12">
        <v>12</v>
      </c>
      <c r="H37" s="8">
        <v>3.54</v>
      </c>
      <c r="I37" s="12">
        <v>0</v>
      </c>
    </row>
    <row r="38" spans="2:9" ht="15" customHeight="1" x14ac:dyDescent="0.2">
      <c r="B38" t="s">
        <v>123</v>
      </c>
      <c r="C38" s="12">
        <v>18</v>
      </c>
      <c r="D38" s="8">
        <v>2.14</v>
      </c>
      <c r="E38" s="12">
        <v>16</v>
      </c>
      <c r="F38" s="8">
        <v>3.26</v>
      </c>
      <c r="G38" s="12">
        <v>2</v>
      </c>
      <c r="H38" s="8">
        <v>0.59</v>
      </c>
      <c r="I38" s="12">
        <v>0</v>
      </c>
    </row>
    <row r="39" spans="2:9" ht="15" customHeight="1" x14ac:dyDescent="0.2">
      <c r="B39" t="s">
        <v>126</v>
      </c>
      <c r="C39" s="12">
        <v>17</v>
      </c>
      <c r="D39" s="8">
        <v>2.02</v>
      </c>
      <c r="E39" s="12">
        <v>4</v>
      </c>
      <c r="F39" s="8">
        <v>0.81</v>
      </c>
      <c r="G39" s="12">
        <v>13</v>
      </c>
      <c r="H39" s="8">
        <v>3.83</v>
      </c>
      <c r="I39" s="12">
        <v>0</v>
      </c>
    </row>
    <row r="40" spans="2:9" ht="15" customHeight="1" x14ac:dyDescent="0.2">
      <c r="B40" t="s">
        <v>118</v>
      </c>
      <c r="C40" s="12">
        <v>17</v>
      </c>
      <c r="D40" s="8">
        <v>2.02</v>
      </c>
      <c r="E40" s="12">
        <v>9</v>
      </c>
      <c r="F40" s="8">
        <v>1.83</v>
      </c>
      <c r="G40" s="12">
        <v>8</v>
      </c>
      <c r="H40" s="8">
        <v>2.36</v>
      </c>
      <c r="I40" s="12">
        <v>0</v>
      </c>
    </row>
    <row r="41" spans="2:9" ht="15" customHeight="1" x14ac:dyDescent="0.2">
      <c r="B41" t="s">
        <v>111</v>
      </c>
      <c r="C41" s="12">
        <v>16</v>
      </c>
      <c r="D41" s="8">
        <v>1.9</v>
      </c>
      <c r="E41" s="12">
        <v>3</v>
      </c>
      <c r="F41" s="8">
        <v>0.61</v>
      </c>
      <c r="G41" s="12">
        <v>13</v>
      </c>
      <c r="H41" s="8">
        <v>3.83</v>
      </c>
      <c r="I41" s="12">
        <v>0</v>
      </c>
    </row>
    <row r="42" spans="2:9" ht="15" customHeight="1" x14ac:dyDescent="0.2">
      <c r="B42" t="s">
        <v>103</v>
      </c>
      <c r="C42" s="12">
        <v>14</v>
      </c>
      <c r="D42" s="8">
        <v>1.66</v>
      </c>
      <c r="E42" s="12">
        <v>2</v>
      </c>
      <c r="F42" s="8">
        <v>0.41</v>
      </c>
      <c r="G42" s="12">
        <v>12</v>
      </c>
      <c r="H42" s="8">
        <v>3.54</v>
      </c>
      <c r="I42" s="12">
        <v>0</v>
      </c>
    </row>
    <row r="43" spans="2:9" ht="15" customHeight="1" x14ac:dyDescent="0.2">
      <c r="B43" t="s">
        <v>108</v>
      </c>
      <c r="C43" s="12">
        <v>11</v>
      </c>
      <c r="D43" s="8">
        <v>1.3</v>
      </c>
      <c r="E43" s="12">
        <v>3</v>
      </c>
      <c r="F43" s="8">
        <v>0.61</v>
      </c>
      <c r="G43" s="12">
        <v>8</v>
      </c>
      <c r="H43" s="8">
        <v>2.36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164</v>
      </c>
      <c r="C47" s="12">
        <v>61</v>
      </c>
      <c r="D47" s="8">
        <v>7.24</v>
      </c>
      <c r="E47" s="12">
        <v>41</v>
      </c>
      <c r="F47" s="8">
        <v>8.35</v>
      </c>
      <c r="G47" s="12">
        <v>20</v>
      </c>
      <c r="H47" s="8">
        <v>5.9</v>
      </c>
      <c r="I47" s="12">
        <v>0</v>
      </c>
    </row>
    <row r="48" spans="2:9" ht="15" customHeight="1" x14ac:dyDescent="0.2">
      <c r="B48" t="s">
        <v>170</v>
      </c>
      <c r="C48" s="12">
        <v>47</v>
      </c>
      <c r="D48" s="8">
        <v>5.58</v>
      </c>
      <c r="E48" s="12">
        <v>44</v>
      </c>
      <c r="F48" s="8">
        <v>8.9600000000000009</v>
      </c>
      <c r="G48" s="12">
        <v>3</v>
      </c>
      <c r="H48" s="8">
        <v>0.88</v>
      </c>
      <c r="I48" s="12">
        <v>0</v>
      </c>
    </row>
    <row r="49" spans="2:9" ht="15" customHeight="1" x14ac:dyDescent="0.2">
      <c r="B49" t="s">
        <v>171</v>
      </c>
      <c r="C49" s="12">
        <v>28</v>
      </c>
      <c r="D49" s="8">
        <v>3.32</v>
      </c>
      <c r="E49" s="12">
        <v>23</v>
      </c>
      <c r="F49" s="8">
        <v>4.68</v>
      </c>
      <c r="G49" s="12">
        <v>5</v>
      </c>
      <c r="H49" s="8">
        <v>1.47</v>
      </c>
      <c r="I49" s="12">
        <v>0</v>
      </c>
    </row>
    <row r="50" spans="2:9" ht="15" customHeight="1" x14ac:dyDescent="0.2">
      <c r="B50" t="s">
        <v>160</v>
      </c>
      <c r="C50" s="12">
        <v>27</v>
      </c>
      <c r="D50" s="8">
        <v>3.2</v>
      </c>
      <c r="E50" s="12">
        <v>9</v>
      </c>
      <c r="F50" s="8">
        <v>1.83</v>
      </c>
      <c r="G50" s="12">
        <v>18</v>
      </c>
      <c r="H50" s="8">
        <v>5.31</v>
      </c>
      <c r="I50" s="12">
        <v>0</v>
      </c>
    </row>
    <row r="51" spans="2:9" ht="15" customHeight="1" x14ac:dyDescent="0.2">
      <c r="B51" t="s">
        <v>169</v>
      </c>
      <c r="C51" s="12">
        <v>24</v>
      </c>
      <c r="D51" s="8">
        <v>2.85</v>
      </c>
      <c r="E51" s="12">
        <v>23</v>
      </c>
      <c r="F51" s="8">
        <v>4.68</v>
      </c>
      <c r="G51" s="12">
        <v>1</v>
      </c>
      <c r="H51" s="8">
        <v>0.28999999999999998</v>
      </c>
      <c r="I51" s="12">
        <v>0</v>
      </c>
    </row>
    <row r="52" spans="2:9" ht="15" customHeight="1" x14ac:dyDescent="0.2">
      <c r="B52" t="s">
        <v>172</v>
      </c>
      <c r="C52" s="12">
        <v>19</v>
      </c>
      <c r="D52" s="8">
        <v>2.25</v>
      </c>
      <c r="E52" s="12">
        <v>19</v>
      </c>
      <c r="F52" s="8">
        <v>3.87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168</v>
      </c>
      <c r="C53" s="12">
        <v>18</v>
      </c>
      <c r="D53" s="8">
        <v>2.14</v>
      </c>
      <c r="E53" s="12">
        <v>18</v>
      </c>
      <c r="F53" s="8">
        <v>3.67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173</v>
      </c>
      <c r="C54" s="12">
        <v>18</v>
      </c>
      <c r="D54" s="8">
        <v>2.14</v>
      </c>
      <c r="E54" s="12">
        <v>16</v>
      </c>
      <c r="F54" s="8">
        <v>3.26</v>
      </c>
      <c r="G54" s="12">
        <v>2</v>
      </c>
      <c r="H54" s="8">
        <v>0.59</v>
      </c>
      <c r="I54" s="12">
        <v>0</v>
      </c>
    </row>
    <row r="55" spans="2:9" ht="15" customHeight="1" x14ac:dyDescent="0.2">
      <c r="B55" t="s">
        <v>154</v>
      </c>
      <c r="C55" s="12">
        <v>17</v>
      </c>
      <c r="D55" s="8">
        <v>2.02</v>
      </c>
      <c r="E55" s="12">
        <v>5</v>
      </c>
      <c r="F55" s="8">
        <v>1.02</v>
      </c>
      <c r="G55" s="12">
        <v>12</v>
      </c>
      <c r="H55" s="8">
        <v>3.54</v>
      </c>
      <c r="I55" s="12">
        <v>0</v>
      </c>
    </row>
    <row r="56" spans="2:9" ht="15" customHeight="1" x14ac:dyDescent="0.2">
      <c r="B56" t="s">
        <v>158</v>
      </c>
      <c r="C56" s="12">
        <v>17</v>
      </c>
      <c r="D56" s="8">
        <v>2.02</v>
      </c>
      <c r="E56" s="12">
        <v>11</v>
      </c>
      <c r="F56" s="8">
        <v>2.2400000000000002</v>
      </c>
      <c r="G56" s="12">
        <v>6</v>
      </c>
      <c r="H56" s="8">
        <v>1.77</v>
      </c>
      <c r="I56" s="12">
        <v>0</v>
      </c>
    </row>
    <row r="57" spans="2:9" ht="15" customHeight="1" x14ac:dyDescent="0.2">
      <c r="B57" t="s">
        <v>159</v>
      </c>
      <c r="C57" s="12">
        <v>16</v>
      </c>
      <c r="D57" s="8">
        <v>1.9</v>
      </c>
      <c r="E57" s="12">
        <v>7</v>
      </c>
      <c r="F57" s="8">
        <v>1.43</v>
      </c>
      <c r="G57" s="12">
        <v>9</v>
      </c>
      <c r="H57" s="8">
        <v>2.65</v>
      </c>
      <c r="I57" s="12">
        <v>0</v>
      </c>
    </row>
    <row r="58" spans="2:9" ht="15" customHeight="1" x14ac:dyDescent="0.2">
      <c r="B58" t="s">
        <v>166</v>
      </c>
      <c r="C58" s="12">
        <v>15</v>
      </c>
      <c r="D58" s="8">
        <v>1.78</v>
      </c>
      <c r="E58" s="12">
        <v>14</v>
      </c>
      <c r="F58" s="8">
        <v>2.85</v>
      </c>
      <c r="G58" s="12">
        <v>1</v>
      </c>
      <c r="H58" s="8">
        <v>0.28999999999999998</v>
      </c>
      <c r="I58" s="12">
        <v>0</v>
      </c>
    </row>
    <row r="59" spans="2:9" ht="15" customHeight="1" x14ac:dyDescent="0.2">
      <c r="B59" t="s">
        <v>167</v>
      </c>
      <c r="C59" s="12">
        <v>15</v>
      </c>
      <c r="D59" s="8">
        <v>1.78</v>
      </c>
      <c r="E59" s="12">
        <v>15</v>
      </c>
      <c r="F59" s="8">
        <v>3.05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192</v>
      </c>
      <c r="C60" s="12">
        <v>14</v>
      </c>
      <c r="D60" s="8">
        <v>1.66</v>
      </c>
      <c r="E60" s="12">
        <v>4</v>
      </c>
      <c r="F60" s="8">
        <v>0.81</v>
      </c>
      <c r="G60" s="12">
        <v>10</v>
      </c>
      <c r="H60" s="8">
        <v>2.95</v>
      </c>
      <c r="I60" s="12">
        <v>0</v>
      </c>
    </row>
    <row r="61" spans="2:9" ht="15" customHeight="1" x14ac:dyDescent="0.2">
      <c r="B61" t="s">
        <v>163</v>
      </c>
      <c r="C61" s="12">
        <v>14</v>
      </c>
      <c r="D61" s="8">
        <v>1.66</v>
      </c>
      <c r="E61" s="12">
        <v>6</v>
      </c>
      <c r="F61" s="8">
        <v>1.22</v>
      </c>
      <c r="G61" s="12">
        <v>8</v>
      </c>
      <c r="H61" s="8">
        <v>2.36</v>
      </c>
      <c r="I61" s="12">
        <v>0</v>
      </c>
    </row>
    <row r="62" spans="2:9" ht="15" customHeight="1" x14ac:dyDescent="0.2">
      <c r="B62" t="s">
        <v>222</v>
      </c>
      <c r="C62" s="12">
        <v>14</v>
      </c>
      <c r="D62" s="8">
        <v>1.66</v>
      </c>
      <c r="E62" s="12">
        <v>9</v>
      </c>
      <c r="F62" s="8">
        <v>1.83</v>
      </c>
      <c r="G62" s="12">
        <v>5</v>
      </c>
      <c r="H62" s="8">
        <v>1.47</v>
      </c>
      <c r="I62" s="12">
        <v>0</v>
      </c>
    </row>
    <row r="63" spans="2:9" ht="15" customHeight="1" x14ac:dyDescent="0.2">
      <c r="B63" t="s">
        <v>175</v>
      </c>
      <c r="C63" s="12">
        <v>13</v>
      </c>
      <c r="D63" s="8">
        <v>1.54</v>
      </c>
      <c r="E63" s="12">
        <v>11</v>
      </c>
      <c r="F63" s="8">
        <v>2.2400000000000002</v>
      </c>
      <c r="G63" s="12">
        <v>2</v>
      </c>
      <c r="H63" s="8">
        <v>0.59</v>
      </c>
      <c r="I63" s="12">
        <v>0</v>
      </c>
    </row>
    <row r="64" spans="2:9" ht="15" customHeight="1" x14ac:dyDescent="0.2">
      <c r="B64" t="s">
        <v>182</v>
      </c>
      <c r="C64" s="12">
        <v>13</v>
      </c>
      <c r="D64" s="8">
        <v>1.54</v>
      </c>
      <c r="E64" s="12">
        <v>7</v>
      </c>
      <c r="F64" s="8">
        <v>1.43</v>
      </c>
      <c r="G64" s="12">
        <v>6</v>
      </c>
      <c r="H64" s="8">
        <v>1.77</v>
      </c>
      <c r="I64" s="12">
        <v>0</v>
      </c>
    </row>
    <row r="65" spans="2:9" ht="15" customHeight="1" x14ac:dyDescent="0.2">
      <c r="B65" t="s">
        <v>220</v>
      </c>
      <c r="C65" s="12">
        <v>13</v>
      </c>
      <c r="D65" s="8">
        <v>1.54</v>
      </c>
      <c r="E65" s="12">
        <v>10</v>
      </c>
      <c r="F65" s="8">
        <v>2.04</v>
      </c>
      <c r="G65" s="12">
        <v>3</v>
      </c>
      <c r="H65" s="8">
        <v>0.88</v>
      </c>
      <c r="I65" s="12">
        <v>0</v>
      </c>
    </row>
    <row r="66" spans="2:9" ht="15" customHeight="1" x14ac:dyDescent="0.2">
      <c r="B66" t="s">
        <v>161</v>
      </c>
      <c r="C66" s="12">
        <v>12</v>
      </c>
      <c r="D66" s="8">
        <v>1.42</v>
      </c>
      <c r="E66" s="12">
        <v>11</v>
      </c>
      <c r="F66" s="8">
        <v>2.2400000000000002</v>
      </c>
      <c r="G66" s="12">
        <v>1</v>
      </c>
      <c r="H66" s="8">
        <v>0.28999999999999998</v>
      </c>
      <c r="I66" s="12">
        <v>0</v>
      </c>
    </row>
    <row r="67" spans="2:9" ht="15" customHeight="1" x14ac:dyDescent="0.2">
      <c r="B67" t="s">
        <v>179</v>
      </c>
      <c r="C67" s="12">
        <v>12</v>
      </c>
      <c r="D67" s="8">
        <v>1.42</v>
      </c>
      <c r="E67" s="12">
        <v>12</v>
      </c>
      <c r="F67" s="8">
        <v>2.44</v>
      </c>
      <c r="G67" s="12">
        <v>0</v>
      </c>
      <c r="H67" s="8">
        <v>0</v>
      </c>
      <c r="I67" s="12">
        <v>0</v>
      </c>
    </row>
    <row r="69" spans="2:9" ht="15" customHeight="1" x14ac:dyDescent="0.2">
      <c r="B69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A3585-61C6-4CC9-8C90-93DAFDC2FFA1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318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256</v>
      </c>
      <c r="D6" s="8">
        <v>14.69</v>
      </c>
      <c r="E6" s="12">
        <v>67</v>
      </c>
      <c r="F6" s="8">
        <v>8.39</v>
      </c>
      <c r="G6" s="12">
        <v>189</v>
      </c>
      <c r="H6" s="8">
        <v>20.37</v>
      </c>
      <c r="I6" s="12">
        <v>0</v>
      </c>
    </row>
    <row r="7" spans="2:9" ht="15" customHeight="1" x14ac:dyDescent="0.2">
      <c r="B7" t="s">
        <v>77</v>
      </c>
      <c r="C7" s="12">
        <v>56</v>
      </c>
      <c r="D7" s="8">
        <v>3.21</v>
      </c>
      <c r="E7" s="12">
        <v>21</v>
      </c>
      <c r="F7" s="8">
        <v>2.63</v>
      </c>
      <c r="G7" s="12">
        <v>35</v>
      </c>
      <c r="H7" s="8">
        <v>3.77</v>
      </c>
      <c r="I7" s="12">
        <v>0</v>
      </c>
    </row>
    <row r="8" spans="2:9" ht="15" customHeight="1" x14ac:dyDescent="0.2">
      <c r="B8" t="s">
        <v>78</v>
      </c>
      <c r="C8" s="12">
        <v>7</v>
      </c>
      <c r="D8" s="8">
        <v>0.4</v>
      </c>
      <c r="E8" s="12">
        <v>0</v>
      </c>
      <c r="F8" s="8">
        <v>0</v>
      </c>
      <c r="G8" s="12">
        <v>6</v>
      </c>
      <c r="H8" s="8">
        <v>0.65</v>
      </c>
      <c r="I8" s="12">
        <v>0</v>
      </c>
    </row>
    <row r="9" spans="2:9" ht="15" customHeight="1" x14ac:dyDescent="0.2">
      <c r="B9" t="s">
        <v>79</v>
      </c>
      <c r="C9" s="12">
        <v>24</v>
      </c>
      <c r="D9" s="8">
        <v>1.38</v>
      </c>
      <c r="E9" s="12">
        <v>0</v>
      </c>
      <c r="F9" s="8">
        <v>0</v>
      </c>
      <c r="G9" s="12">
        <v>24</v>
      </c>
      <c r="H9" s="8">
        <v>2.59</v>
      </c>
      <c r="I9" s="12">
        <v>0</v>
      </c>
    </row>
    <row r="10" spans="2:9" ht="15" customHeight="1" x14ac:dyDescent="0.2">
      <c r="B10" t="s">
        <v>80</v>
      </c>
      <c r="C10" s="12">
        <v>13</v>
      </c>
      <c r="D10" s="8">
        <v>0.75</v>
      </c>
      <c r="E10" s="12">
        <v>5</v>
      </c>
      <c r="F10" s="8">
        <v>0.63</v>
      </c>
      <c r="G10" s="12">
        <v>7</v>
      </c>
      <c r="H10" s="8">
        <v>0.75</v>
      </c>
      <c r="I10" s="12">
        <v>1</v>
      </c>
    </row>
    <row r="11" spans="2:9" ht="15" customHeight="1" x14ac:dyDescent="0.2">
      <c r="B11" t="s">
        <v>81</v>
      </c>
      <c r="C11" s="12">
        <v>446</v>
      </c>
      <c r="D11" s="8">
        <v>25.59</v>
      </c>
      <c r="E11" s="12">
        <v>158</v>
      </c>
      <c r="F11" s="8">
        <v>19.77</v>
      </c>
      <c r="G11" s="12">
        <v>288</v>
      </c>
      <c r="H11" s="8">
        <v>31.03</v>
      </c>
      <c r="I11" s="12">
        <v>0</v>
      </c>
    </row>
    <row r="12" spans="2:9" ht="15" customHeight="1" x14ac:dyDescent="0.2">
      <c r="B12" t="s">
        <v>82</v>
      </c>
      <c r="C12" s="12">
        <v>11</v>
      </c>
      <c r="D12" s="8">
        <v>0.63</v>
      </c>
      <c r="E12" s="12">
        <v>2</v>
      </c>
      <c r="F12" s="8">
        <v>0.25</v>
      </c>
      <c r="G12" s="12">
        <v>9</v>
      </c>
      <c r="H12" s="8">
        <v>0.97</v>
      </c>
      <c r="I12" s="12">
        <v>0</v>
      </c>
    </row>
    <row r="13" spans="2:9" ht="15" customHeight="1" x14ac:dyDescent="0.2">
      <c r="B13" t="s">
        <v>83</v>
      </c>
      <c r="C13" s="12">
        <v>190</v>
      </c>
      <c r="D13" s="8">
        <v>10.9</v>
      </c>
      <c r="E13" s="12">
        <v>55</v>
      </c>
      <c r="F13" s="8">
        <v>6.88</v>
      </c>
      <c r="G13" s="12">
        <v>135</v>
      </c>
      <c r="H13" s="8">
        <v>14.55</v>
      </c>
      <c r="I13" s="12">
        <v>0</v>
      </c>
    </row>
    <row r="14" spans="2:9" ht="15" customHeight="1" x14ac:dyDescent="0.2">
      <c r="B14" t="s">
        <v>84</v>
      </c>
      <c r="C14" s="12">
        <v>115</v>
      </c>
      <c r="D14" s="8">
        <v>6.6</v>
      </c>
      <c r="E14" s="12">
        <v>68</v>
      </c>
      <c r="F14" s="8">
        <v>8.51</v>
      </c>
      <c r="G14" s="12">
        <v>47</v>
      </c>
      <c r="H14" s="8">
        <v>5.0599999999999996</v>
      </c>
      <c r="I14" s="12">
        <v>0</v>
      </c>
    </row>
    <row r="15" spans="2:9" ht="15" customHeight="1" x14ac:dyDescent="0.2">
      <c r="B15" t="s">
        <v>85</v>
      </c>
      <c r="C15" s="12">
        <v>197</v>
      </c>
      <c r="D15" s="8">
        <v>11.3</v>
      </c>
      <c r="E15" s="12">
        <v>165</v>
      </c>
      <c r="F15" s="8">
        <v>20.65</v>
      </c>
      <c r="G15" s="12">
        <v>32</v>
      </c>
      <c r="H15" s="8">
        <v>3.45</v>
      </c>
      <c r="I15" s="12">
        <v>0</v>
      </c>
    </row>
    <row r="16" spans="2:9" ht="15" customHeight="1" x14ac:dyDescent="0.2">
      <c r="B16" t="s">
        <v>86</v>
      </c>
      <c r="C16" s="12">
        <v>228</v>
      </c>
      <c r="D16" s="8">
        <v>13.08</v>
      </c>
      <c r="E16" s="12">
        <v>160</v>
      </c>
      <c r="F16" s="8">
        <v>20.03</v>
      </c>
      <c r="G16" s="12">
        <v>68</v>
      </c>
      <c r="H16" s="8">
        <v>7.33</v>
      </c>
      <c r="I16" s="12">
        <v>0</v>
      </c>
    </row>
    <row r="17" spans="2:9" ht="15" customHeight="1" x14ac:dyDescent="0.2">
      <c r="B17" t="s">
        <v>87</v>
      </c>
      <c r="C17" s="12">
        <v>60</v>
      </c>
      <c r="D17" s="8">
        <v>3.44</v>
      </c>
      <c r="E17" s="12">
        <v>38</v>
      </c>
      <c r="F17" s="8">
        <v>4.76</v>
      </c>
      <c r="G17" s="12">
        <v>20</v>
      </c>
      <c r="H17" s="8">
        <v>2.16</v>
      </c>
      <c r="I17" s="12">
        <v>1</v>
      </c>
    </row>
    <row r="18" spans="2:9" ht="15" customHeight="1" x14ac:dyDescent="0.2">
      <c r="B18" t="s">
        <v>88</v>
      </c>
      <c r="C18" s="12">
        <v>78</v>
      </c>
      <c r="D18" s="8">
        <v>4.4800000000000004</v>
      </c>
      <c r="E18" s="12">
        <v>49</v>
      </c>
      <c r="F18" s="8">
        <v>6.13</v>
      </c>
      <c r="G18" s="12">
        <v>24</v>
      </c>
      <c r="H18" s="8">
        <v>2.59</v>
      </c>
      <c r="I18" s="12">
        <v>0</v>
      </c>
    </row>
    <row r="19" spans="2:9" ht="15" customHeight="1" x14ac:dyDescent="0.2">
      <c r="B19" t="s">
        <v>89</v>
      </c>
      <c r="C19" s="12">
        <v>62</v>
      </c>
      <c r="D19" s="8">
        <v>3.56</v>
      </c>
      <c r="E19" s="12">
        <v>11</v>
      </c>
      <c r="F19" s="8">
        <v>1.38</v>
      </c>
      <c r="G19" s="12">
        <v>44</v>
      </c>
      <c r="H19" s="8">
        <v>4.74</v>
      </c>
      <c r="I19" s="12">
        <v>1</v>
      </c>
    </row>
    <row r="20" spans="2:9" ht="15" customHeight="1" x14ac:dyDescent="0.2">
      <c r="B20" s="9" t="s">
        <v>285</v>
      </c>
      <c r="C20" s="12">
        <f>SUM(LTBL_40217[総数／事業所数])</f>
        <v>1743</v>
      </c>
      <c r="E20" s="12">
        <f>SUBTOTAL(109,LTBL_40217[個人／事業所数])</f>
        <v>799</v>
      </c>
      <c r="G20" s="12">
        <f>SUBTOTAL(109,LTBL_40217[法人／事業所数])</f>
        <v>928</v>
      </c>
      <c r="I20" s="12">
        <f>SUBTOTAL(109,LTBL_40217[法人以外の団体／事業所数])</f>
        <v>3</v>
      </c>
    </row>
    <row r="21" spans="2:9" ht="15" customHeight="1" x14ac:dyDescent="0.2">
      <c r="E21" s="11">
        <f>LTBL_40217[[#Totals],[個人／事業所数]]/LTBL_40217[[#Totals],[総数／事業所数]]</f>
        <v>0.45840504876649457</v>
      </c>
      <c r="G21" s="11">
        <f>LTBL_40217[[#Totals],[法人／事業所数]]/LTBL_40217[[#Totals],[総数／事業所数]]</f>
        <v>0.53241537578886977</v>
      </c>
      <c r="I21" s="11">
        <f>LTBL_40217[[#Totals],[法人以外の団体／事業所数]]/LTBL_40217[[#Totals],[総数／事業所数]]</f>
        <v>1.7211703958691911E-3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186</v>
      </c>
      <c r="D24" s="8">
        <v>10.67</v>
      </c>
      <c r="E24" s="12">
        <v>143</v>
      </c>
      <c r="F24" s="8">
        <v>17.899999999999999</v>
      </c>
      <c r="G24" s="12">
        <v>43</v>
      </c>
      <c r="H24" s="8">
        <v>4.63</v>
      </c>
      <c r="I24" s="12">
        <v>0</v>
      </c>
    </row>
    <row r="25" spans="2:9" ht="15" customHeight="1" x14ac:dyDescent="0.2">
      <c r="B25" t="s">
        <v>112</v>
      </c>
      <c r="C25" s="12">
        <v>174</v>
      </c>
      <c r="D25" s="8">
        <v>9.98</v>
      </c>
      <c r="E25" s="12">
        <v>156</v>
      </c>
      <c r="F25" s="8">
        <v>19.52</v>
      </c>
      <c r="G25" s="12">
        <v>18</v>
      </c>
      <c r="H25" s="8">
        <v>1.94</v>
      </c>
      <c r="I25" s="12">
        <v>0</v>
      </c>
    </row>
    <row r="26" spans="2:9" ht="15" customHeight="1" x14ac:dyDescent="0.2">
      <c r="B26" t="s">
        <v>109</v>
      </c>
      <c r="C26" s="12">
        <v>150</v>
      </c>
      <c r="D26" s="8">
        <v>8.61</v>
      </c>
      <c r="E26" s="12">
        <v>51</v>
      </c>
      <c r="F26" s="8">
        <v>6.38</v>
      </c>
      <c r="G26" s="12">
        <v>99</v>
      </c>
      <c r="H26" s="8">
        <v>10.67</v>
      </c>
      <c r="I26" s="12">
        <v>0</v>
      </c>
    </row>
    <row r="27" spans="2:9" ht="15" customHeight="1" x14ac:dyDescent="0.2">
      <c r="B27" t="s">
        <v>98</v>
      </c>
      <c r="C27" s="12">
        <v>124</v>
      </c>
      <c r="D27" s="8">
        <v>7.11</v>
      </c>
      <c r="E27" s="12">
        <v>29</v>
      </c>
      <c r="F27" s="8">
        <v>3.63</v>
      </c>
      <c r="G27" s="12">
        <v>95</v>
      </c>
      <c r="H27" s="8">
        <v>10.24</v>
      </c>
      <c r="I27" s="12">
        <v>0</v>
      </c>
    </row>
    <row r="28" spans="2:9" ht="15" customHeight="1" x14ac:dyDescent="0.2">
      <c r="B28" t="s">
        <v>107</v>
      </c>
      <c r="C28" s="12">
        <v>106</v>
      </c>
      <c r="D28" s="8">
        <v>6.08</v>
      </c>
      <c r="E28" s="12">
        <v>43</v>
      </c>
      <c r="F28" s="8">
        <v>5.38</v>
      </c>
      <c r="G28" s="12">
        <v>63</v>
      </c>
      <c r="H28" s="8">
        <v>6.79</v>
      </c>
      <c r="I28" s="12">
        <v>0</v>
      </c>
    </row>
    <row r="29" spans="2:9" ht="15" customHeight="1" x14ac:dyDescent="0.2">
      <c r="B29" t="s">
        <v>105</v>
      </c>
      <c r="C29" s="12">
        <v>90</v>
      </c>
      <c r="D29" s="8">
        <v>5.16</v>
      </c>
      <c r="E29" s="12">
        <v>57</v>
      </c>
      <c r="F29" s="8">
        <v>7.13</v>
      </c>
      <c r="G29" s="12">
        <v>33</v>
      </c>
      <c r="H29" s="8">
        <v>3.56</v>
      </c>
      <c r="I29" s="12">
        <v>0</v>
      </c>
    </row>
    <row r="30" spans="2:9" ht="15" customHeight="1" x14ac:dyDescent="0.2">
      <c r="B30" t="s">
        <v>100</v>
      </c>
      <c r="C30" s="12">
        <v>81</v>
      </c>
      <c r="D30" s="8">
        <v>4.6500000000000004</v>
      </c>
      <c r="E30" s="12">
        <v>20</v>
      </c>
      <c r="F30" s="8">
        <v>2.5</v>
      </c>
      <c r="G30" s="12">
        <v>61</v>
      </c>
      <c r="H30" s="8">
        <v>6.57</v>
      </c>
      <c r="I30" s="12">
        <v>0</v>
      </c>
    </row>
    <row r="31" spans="2:9" ht="15" customHeight="1" x14ac:dyDescent="0.2">
      <c r="B31" t="s">
        <v>110</v>
      </c>
      <c r="C31" s="12">
        <v>63</v>
      </c>
      <c r="D31" s="8">
        <v>3.61</v>
      </c>
      <c r="E31" s="12">
        <v>50</v>
      </c>
      <c r="F31" s="8">
        <v>6.26</v>
      </c>
      <c r="G31" s="12">
        <v>13</v>
      </c>
      <c r="H31" s="8">
        <v>1.4</v>
      </c>
      <c r="I31" s="12">
        <v>0</v>
      </c>
    </row>
    <row r="32" spans="2:9" ht="15" customHeight="1" x14ac:dyDescent="0.2">
      <c r="B32" t="s">
        <v>114</v>
      </c>
      <c r="C32" s="12">
        <v>60</v>
      </c>
      <c r="D32" s="8">
        <v>3.44</v>
      </c>
      <c r="E32" s="12">
        <v>38</v>
      </c>
      <c r="F32" s="8">
        <v>4.76</v>
      </c>
      <c r="G32" s="12">
        <v>20</v>
      </c>
      <c r="H32" s="8">
        <v>2.16</v>
      </c>
      <c r="I32" s="12">
        <v>1</v>
      </c>
    </row>
    <row r="33" spans="2:9" ht="15" customHeight="1" x14ac:dyDescent="0.2">
      <c r="B33" t="s">
        <v>104</v>
      </c>
      <c r="C33" s="12">
        <v>56</v>
      </c>
      <c r="D33" s="8">
        <v>3.21</v>
      </c>
      <c r="E33" s="12">
        <v>11</v>
      </c>
      <c r="F33" s="8">
        <v>1.38</v>
      </c>
      <c r="G33" s="12">
        <v>45</v>
      </c>
      <c r="H33" s="8">
        <v>4.8499999999999996</v>
      </c>
      <c r="I33" s="12">
        <v>0</v>
      </c>
    </row>
    <row r="34" spans="2:9" ht="15" customHeight="1" x14ac:dyDescent="0.2">
      <c r="B34" t="s">
        <v>106</v>
      </c>
      <c r="C34" s="12">
        <v>56</v>
      </c>
      <c r="D34" s="8">
        <v>3.21</v>
      </c>
      <c r="E34" s="12">
        <v>32</v>
      </c>
      <c r="F34" s="8">
        <v>4.01</v>
      </c>
      <c r="G34" s="12">
        <v>24</v>
      </c>
      <c r="H34" s="8">
        <v>2.59</v>
      </c>
      <c r="I34" s="12">
        <v>0</v>
      </c>
    </row>
    <row r="35" spans="2:9" ht="15" customHeight="1" x14ac:dyDescent="0.2">
      <c r="B35" t="s">
        <v>115</v>
      </c>
      <c r="C35" s="12">
        <v>53</v>
      </c>
      <c r="D35" s="8">
        <v>3.04</v>
      </c>
      <c r="E35" s="12">
        <v>47</v>
      </c>
      <c r="F35" s="8">
        <v>5.88</v>
      </c>
      <c r="G35" s="12">
        <v>6</v>
      </c>
      <c r="H35" s="8">
        <v>0.65</v>
      </c>
      <c r="I35" s="12">
        <v>0</v>
      </c>
    </row>
    <row r="36" spans="2:9" ht="15" customHeight="1" x14ac:dyDescent="0.2">
      <c r="B36" t="s">
        <v>99</v>
      </c>
      <c r="C36" s="12">
        <v>51</v>
      </c>
      <c r="D36" s="8">
        <v>2.93</v>
      </c>
      <c r="E36" s="12">
        <v>18</v>
      </c>
      <c r="F36" s="8">
        <v>2.25</v>
      </c>
      <c r="G36" s="12">
        <v>33</v>
      </c>
      <c r="H36" s="8">
        <v>3.56</v>
      </c>
      <c r="I36" s="12">
        <v>0</v>
      </c>
    </row>
    <row r="37" spans="2:9" ht="15" customHeight="1" x14ac:dyDescent="0.2">
      <c r="B37" t="s">
        <v>111</v>
      </c>
      <c r="C37" s="12">
        <v>51</v>
      </c>
      <c r="D37" s="8">
        <v>2.93</v>
      </c>
      <c r="E37" s="12">
        <v>18</v>
      </c>
      <c r="F37" s="8">
        <v>2.25</v>
      </c>
      <c r="G37" s="12">
        <v>33</v>
      </c>
      <c r="H37" s="8">
        <v>3.56</v>
      </c>
      <c r="I37" s="12">
        <v>0</v>
      </c>
    </row>
    <row r="38" spans="2:9" ht="15" customHeight="1" x14ac:dyDescent="0.2">
      <c r="B38" t="s">
        <v>102</v>
      </c>
      <c r="C38" s="12">
        <v>35</v>
      </c>
      <c r="D38" s="8">
        <v>2.0099999999999998</v>
      </c>
      <c r="E38" s="12">
        <v>2</v>
      </c>
      <c r="F38" s="8">
        <v>0.25</v>
      </c>
      <c r="G38" s="12">
        <v>33</v>
      </c>
      <c r="H38" s="8">
        <v>3.56</v>
      </c>
      <c r="I38" s="12">
        <v>0</v>
      </c>
    </row>
    <row r="39" spans="2:9" ht="15" customHeight="1" x14ac:dyDescent="0.2">
      <c r="B39" t="s">
        <v>103</v>
      </c>
      <c r="C39" s="12">
        <v>30</v>
      </c>
      <c r="D39" s="8">
        <v>1.72</v>
      </c>
      <c r="E39" s="12">
        <v>3</v>
      </c>
      <c r="F39" s="8">
        <v>0.38</v>
      </c>
      <c r="G39" s="12">
        <v>27</v>
      </c>
      <c r="H39" s="8">
        <v>2.91</v>
      </c>
      <c r="I39" s="12">
        <v>0</v>
      </c>
    </row>
    <row r="40" spans="2:9" ht="15" customHeight="1" x14ac:dyDescent="0.2">
      <c r="B40" t="s">
        <v>117</v>
      </c>
      <c r="C40" s="12">
        <v>28</v>
      </c>
      <c r="D40" s="8">
        <v>1.61</v>
      </c>
      <c r="E40" s="12">
        <v>1</v>
      </c>
      <c r="F40" s="8">
        <v>0.13</v>
      </c>
      <c r="G40" s="12">
        <v>26</v>
      </c>
      <c r="H40" s="8">
        <v>2.8</v>
      </c>
      <c r="I40" s="12">
        <v>1</v>
      </c>
    </row>
    <row r="41" spans="2:9" ht="15" customHeight="1" x14ac:dyDescent="0.2">
      <c r="B41" t="s">
        <v>101</v>
      </c>
      <c r="C41" s="12">
        <v>27</v>
      </c>
      <c r="D41" s="8">
        <v>1.55</v>
      </c>
      <c r="E41" s="12">
        <v>0</v>
      </c>
      <c r="F41" s="8">
        <v>0</v>
      </c>
      <c r="G41" s="12">
        <v>27</v>
      </c>
      <c r="H41" s="8">
        <v>2.91</v>
      </c>
      <c r="I41" s="12">
        <v>0</v>
      </c>
    </row>
    <row r="42" spans="2:9" ht="15" customHeight="1" x14ac:dyDescent="0.2">
      <c r="B42" t="s">
        <v>108</v>
      </c>
      <c r="C42" s="12">
        <v>26</v>
      </c>
      <c r="D42" s="8">
        <v>1.49</v>
      </c>
      <c r="E42" s="12">
        <v>3</v>
      </c>
      <c r="F42" s="8">
        <v>0.38</v>
      </c>
      <c r="G42" s="12">
        <v>23</v>
      </c>
      <c r="H42" s="8">
        <v>2.48</v>
      </c>
      <c r="I42" s="12">
        <v>0</v>
      </c>
    </row>
    <row r="43" spans="2:9" ht="15" customHeight="1" x14ac:dyDescent="0.2">
      <c r="B43" t="s">
        <v>118</v>
      </c>
      <c r="C43" s="12">
        <v>26</v>
      </c>
      <c r="D43" s="8">
        <v>1.49</v>
      </c>
      <c r="E43" s="12">
        <v>10</v>
      </c>
      <c r="F43" s="8">
        <v>1.25</v>
      </c>
      <c r="G43" s="12">
        <v>16</v>
      </c>
      <c r="H43" s="8">
        <v>1.72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170</v>
      </c>
      <c r="C47" s="12">
        <v>101</v>
      </c>
      <c r="D47" s="8">
        <v>5.79</v>
      </c>
      <c r="E47" s="12">
        <v>81</v>
      </c>
      <c r="F47" s="8">
        <v>10.14</v>
      </c>
      <c r="G47" s="12">
        <v>20</v>
      </c>
      <c r="H47" s="8">
        <v>2.16</v>
      </c>
      <c r="I47" s="12">
        <v>0</v>
      </c>
    </row>
    <row r="48" spans="2:9" ht="15" customHeight="1" x14ac:dyDescent="0.2">
      <c r="B48" t="s">
        <v>164</v>
      </c>
      <c r="C48" s="12">
        <v>87</v>
      </c>
      <c r="D48" s="8">
        <v>4.99</v>
      </c>
      <c r="E48" s="12">
        <v>33</v>
      </c>
      <c r="F48" s="8">
        <v>4.13</v>
      </c>
      <c r="G48" s="12">
        <v>54</v>
      </c>
      <c r="H48" s="8">
        <v>5.82</v>
      </c>
      <c r="I48" s="12">
        <v>0</v>
      </c>
    </row>
    <row r="49" spans="2:9" ht="15" customHeight="1" x14ac:dyDescent="0.2">
      <c r="B49" t="s">
        <v>167</v>
      </c>
      <c r="C49" s="12">
        <v>63</v>
      </c>
      <c r="D49" s="8">
        <v>3.61</v>
      </c>
      <c r="E49" s="12">
        <v>56</v>
      </c>
      <c r="F49" s="8">
        <v>7.01</v>
      </c>
      <c r="G49" s="12">
        <v>7</v>
      </c>
      <c r="H49" s="8">
        <v>0.75</v>
      </c>
      <c r="I49" s="12">
        <v>0</v>
      </c>
    </row>
    <row r="50" spans="2:9" ht="15" customHeight="1" x14ac:dyDescent="0.2">
      <c r="B50" t="s">
        <v>168</v>
      </c>
      <c r="C50" s="12">
        <v>48</v>
      </c>
      <c r="D50" s="8">
        <v>2.75</v>
      </c>
      <c r="E50" s="12">
        <v>46</v>
      </c>
      <c r="F50" s="8">
        <v>5.76</v>
      </c>
      <c r="G50" s="12">
        <v>2</v>
      </c>
      <c r="H50" s="8">
        <v>0.22</v>
      </c>
      <c r="I50" s="12">
        <v>0</v>
      </c>
    </row>
    <row r="51" spans="2:9" ht="15" customHeight="1" x14ac:dyDescent="0.2">
      <c r="B51" t="s">
        <v>154</v>
      </c>
      <c r="C51" s="12">
        <v>46</v>
      </c>
      <c r="D51" s="8">
        <v>2.64</v>
      </c>
      <c r="E51" s="12">
        <v>6</v>
      </c>
      <c r="F51" s="8">
        <v>0.75</v>
      </c>
      <c r="G51" s="12">
        <v>40</v>
      </c>
      <c r="H51" s="8">
        <v>4.3099999999999996</v>
      </c>
      <c r="I51" s="12">
        <v>0</v>
      </c>
    </row>
    <row r="52" spans="2:9" ht="15" customHeight="1" x14ac:dyDescent="0.2">
      <c r="B52" t="s">
        <v>169</v>
      </c>
      <c r="C52" s="12">
        <v>46</v>
      </c>
      <c r="D52" s="8">
        <v>2.64</v>
      </c>
      <c r="E52" s="12">
        <v>45</v>
      </c>
      <c r="F52" s="8">
        <v>5.63</v>
      </c>
      <c r="G52" s="12">
        <v>1</v>
      </c>
      <c r="H52" s="8">
        <v>0.11</v>
      </c>
      <c r="I52" s="12">
        <v>0</v>
      </c>
    </row>
    <row r="53" spans="2:9" ht="15" customHeight="1" x14ac:dyDescent="0.2">
      <c r="B53" t="s">
        <v>160</v>
      </c>
      <c r="C53" s="12">
        <v>42</v>
      </c>
      <c r="D53" s="8">
        <v>2.41</v>
      </c>
      <c r="E53" s="12">
        <v>11</v>
      </c>
      <c r="F53" s="8">
        <v>1.38</v>
      </c>
      <c r="G53" s="12">
        <v>31</v>
      </c>
      <c r="H53" s="8">
        <v>3.34</v>
      </c>
      <c r="I53" s="12">
        <v>0</v>
      </c>
    </row>
    <row r="54" spans="2:9" ht="15" customHeight="1" x14ac:dyDescent="0.2">
      <c r="B54" t="s">
        <v>171</v>
      </c>
      <c r="C54" s="12">
        <v>40</v>
      </c>
      <c r="D54" s="8">
        <v>2.29</v>
      </c>
      <c r="E54" s="12">
        <v>27</v>
      </c>
      <c r="F54" s="8">
        <v>3.38</v>
      </c>
      <c r="G54" s="12">
        <v>13</v>
      </c>
      <c r="H54" s="8">
        <v>1.4</v>
      </c>
      <c r="I54" s="12">
        <v>0</v>
      </c>
    </row>
    <row r="55" spans="2:9" ht="15" customHeight="1" x14ac:dyDescent="0.2">
      <c r="B55" t="s">
        <v>172</v>
      </c>
      <c r="C55" s="12">
        <v>40</v>
      </c>
      <c r="D55" s="8">
        <v>2.29</v>
      </c>
      <c r="E55" s="12">
        <v>35</v>
      </c>
      <c r="F55" s="8">
        <v>4.38</v>
      </c>
      <c r="G55" s="12">
        <v>5</v>
      </c>
      <c r="H55" s="8">
        <v>0.54</v>
      </c>
      <c r="I55" s="12">
        <v>0</v>
      </c>
    </row>
    <row r="56" spans="2:9" ht="15" customHeight="1" x14ac:dyDescent="0.2">
      <c r="B56" t="s">
        <v>159</v>
      </c>
      <c r="C56" s="12">
        <v>38</v>
      </c>
      <c r="D56" s="8">
        <v>2.1800000000000002</v>
      </c>
      <c r="E56" s="12">
        <v>25</v>
      </c>
      <c r="F56" s="8">
        <v>3.13</v>
      </c>
      <c r="G56" s="12">
        <v>13</v>
      </c>
      <c r="H56" s="8">
        <v>1.4</v>
      </c>
      <c r="I56" s="12">
        <v>0</v>
      </c>
    </row>
    <row r="57" spans="2:9" ht="15" customHeight="1" x14ac:dyDescent="0.2">
      <c r="B57" t="s">
        <v>174</v>
      </c>
      <c r="C57" s="12">
        <v>36</v>
      </c>
      <c r="D57" s="8">
        <v>2.0699999999999998</v>
      </c>
      <c r="E57" s="12">
        <v>7</v>
      </c>
      <c r="F57" s="8">
        <v>0.88</v>
      </c>
      <c r="G57" s="12">
        <v>29</v>
      </c>
      <c r="H57" s="8">
        <v>3.13</v>
      </c>
      <c r="I57" s="12">
        <v>0</v>
      </c>
    </row>
    <row r="58" spans="2:9" ht="15" customHeight="1" x14ac:dyDescent="0.2">
      <c r="B58" t="s">
        <v>158</v>
      </c>
      <c r="C58" s="12">
        <v>34</v>
      </c>
      <c r="D58" s="8">
        <v>1.95</v>
      </c>
      <c r="E58" s="12">
        <v>21</v>
      </c>
      <c r="F58" s="8">
        <v>2.63</v>
      </c>
      <c r="G58" s="12">
        <v>13</v>
      </c>
      <c r="H58" s="8">
        <v>1.4</v>
      </c>
      <c r="I58" s="12">
        <v>0</v>
      </c>
    </row>
    <row r="59" spans="2:9" ht="15" customHeight="1" x14ac:dyDescent="0.2">
      <c r="B59" t="s">
        <v>163</v>
      </c>
      <c r="C59" s="12">
        <v>33</v>
      </c>
      <c r="D59" s="8">
        <v>1.89</v>
      </c>
      <c r="E59" s="12">
        <v>7</v>
      </c>
      <c r="F59" s="8">
        <v>0.88</v>
      </c>
      <c r="G59" s="12">
        <v>26</v>
      </c>
      <c r="H59" s="8">
        <v>2.8</v>
      </c>
      <c r="I59" s="12">
        <v>0</v>
      </c>
    </row>
    <row r="60" spans="2:9" ht="15" customHeight="1" x14ac:dyDescent="0.2">
      <c r="B60" t="s">
        <v>161</v>
      </c>
      <c r="C60" s="12">
        <v>29</v>
      </c>
      <c r="D60" s="8">
        <v>1.66</v>
      </c>
      <c r="E60" s="12">
        <v>16</v>
      </c>
      <c r="F60" s="8">
        <v>2</v>
      </c>
      <c r="G60" s="12">
        <v>13</v>
      </c>
      <c r="H60" s="8">
        <v>1.4</v>
      </c>
      <c r="I60" s="12">
        <v>0</v>
      </c>
    </row>
    <row r="61" spans="2:9" ht="15" customHeight="1" x14ac:dyDescent="0.2">
      <c r="B61" t="s">
        <v>165</v>
      </c>
      <c r="C61" s="12">
        <v>29</v>
      </c>
      <c r="D61" s="8">
        <v>1.66</v>
      </c>
      <c r="E61" s="12">
        <v>9</v>
      </c>
      <c r="F61" s="8">
        <v>1.1299999999999999</v>
      </c>
      <c r="G61" s="12">
        <v>20</v>
      </c>
      <c r="H61" s="8">
        <v>2.16</v>
      </c>
      <c r="I61" s="12">
        <v>0</v>
      </c>
    </row>
    <row r="62" spans="2:9" ht="15" customHeight="1" x14ac:dyDescent="0.2">
      <c r="B62" t="s">
        <v>186</v>
      </c>
      <c r="C62" s="12">
        <v>28</v>
      </c>
      <c r="D62" s="8">
        <v>1.61</v>
      </c>
      <c r="E62" s="12">
        <v>11</v>
      </c>
      <c r="F62" s="8">
        <v>1.38</v>
      </c>
      <c r="G62" s="12">
        <v>17</v>
      </c>
      <c r="H62" s="8">
        <v>1.83</v>
      </c>
      <c r="I62" s="12">
        <v>0</v>
      </c>
    </row>
    <row r="63" spans="2:9" ht="15" customHeight="1" x14ac:dyDescent="0.2">
      <c r="B63" t="s">
        <v>156</v>
      </c>
      <c r="C63" s="12">
        <v>28</v>
      </c>
      <c r="D63" s="8">
        <v>1.61</v>
      </c>
      <c r="E63" s="12">
        <v>11</v>
      </c>
      <c r="F63" s="8">
        <v>1.38</v>
      </c>
      <c r="G63" s="12">
        <v>17</v>
      </c>
      <c r="H63" s="8">
        <v>1.83</v>
      </c>
      <c r="I63" s="12">
        <v>0</v>
      </c>
    </row>
    <row r="64" spans="2:9" ht="15" customHeight="1" x14ac:dyDescent="0.2">
      <c r="B64" t="s">
        <v>157</v>
      </c>
      <c r="C64" s="12">
        <v>28</v>
      </c>
      <c r="D64" s="8">
        <v>1.61</v>
      </c>
      <c r="E64" s="12">
        <v>9</v>
      </c>
      <c r="F64" s="8">
        <v>1.1299999999999999</v>
      </c>
      <c r="G64" s="12">
        <v>19</v>
      </c>
      <c r="H64" s="8">
        <v>2.0499999999999998</v>
      </c>
      <c r="I64" s="12">
        <v>0</v>
      </c>
    </row>
    <row r="65" spans="2:9" ht="15" customHeight="1" x14ac:dyDescent="0.2">
      <c r="B65" t="s">
        <v>182</v>
      </c>
      <c r="C65" s="12">
        <v>26</v>
      </c>
      <c r="D65" s="8">
        <v>1.49</v>
      </c>
      <c r="E65" s="12">
        <v>10</v>
      </c>
      <c r="F65" s="8">
        <v>1.25</v>
      </c>
      <c r="G65" s="12">
        <v>16</v>
      </c>
      <c r="H65" s="8">
        <v>1.72</v>
      </c>
      <c r="I65" s="12">
        <v>0</v>
      </c>
    </row>
    <row r="66" spans="2:9" ht="15" customHeight="1" x14ac:dyDescent="0.2">
      <c r="B66" t="s">
        <v>177</v>
      </c>
      <c r="C66" s="12">
        <v>24</v>
      </c>
      <c r="D66" s="8">
        <v>1.38</v>
      </c>
      <c r="E66" s="12">
        <v>14</v>
      </c>
      <c r="F66" s="8">
        <v>1.75</v>
      </c>
      <c r="G66" s="12">
        <v>10</v>
      </c>
      <c r="H66" s="8">
        <v>1.08</v>
      </c>
      <c r="I66" s="12">
        <v>0</v>
      </c>
    </row>
    <row r="68" spans="2:9" ht="15" customHeight="1" x14ac:dyDescent="0.2">
      <c r="B68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3EA79-6407-4C8A-B655-2333419322C9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319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299</v>
      </c>
      <c r="D6" s="8">
        <v>15.33</v>
      </c>
      <c r="E6" s="12">
        <v>67</v>
      </c>
      <c r="F6" s="8">
        <v>6.99</v>
      </c>
      <c r="G6" s="12">
        <v>232</v>
      </c>
      <c r="H6" s="8">
        <v>24.04</v>
      </c>
      <c r="I6" s="12">
        <v>0</v>
      </c>
    </row>
    <row r="7" spans="2:9" ht="15" customHeight="1" x14ac:dyDescent="0.2">
      <c r="B7" t="s">
        <v>77</v>
      </c>
      <c r="C7" s="12">
        <v>67</v>
      </c>
      <c r="D7" s="8">
        <v>3.44</v>
      </c>
      <c r="E7" s="12">
        <v>26</v>
      </c>
      <c r="F7" s="8">
        <v>2.71</v>
      </c>
      <c r="G7" s="12">
        <v>41</v>
      </c>
      <c r="H7" s="8">
        <v>4.25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20</v>
      </c>
      <c r="D9" s="8">
        <v>1.03</v>
      </c>
      <c r="E9" s="12">
        <v>1</v>
      </c>
      <c r="F9" s="8">
        <v>0.1</v>
      </c>
      <c r="G9" s="12">
        <v>19</v>
      </c>
      <c r="H9" s="8">
        <v>1.97</v>
      </c>
      <c r="I9" s="12">
        <v>0</v>
      </c>
    </row>
    <row r="10" spans="2:9" ht="15" customHeight="1" x14ac:dyDescent="0.2">
      <c r="B10" t="s">
        <v>80</v>
      </c>
      <c r="C10" s="12">
        <v>13</v>
      </c>
      <c r="D10" s="8">
        <v>0.67</v>
      </c>
      <c r="E10" s="12">
        <v>8</v>
      </c>
      <c r="F10" s="8">
        <v>0.84</v>
      </c>
      <c r="G10" s="12">
        <v>5</v>
      </c>
      <c r="H10" s="8">
        <v>0.52</v>
      </c>
      <c r="I10" s="12">
        <v>0</v>
      </c>
    </row>
    <row r="11" spans="2:9" ht="15" customHeight="1" x14ac:dyDescent="0.2">
      <c r="B11" t="s">
        <v>81</v>
      </c>
      <c r="C11" s="12">
        <v>451</v>
      </c>
      <c r="D11" s="8">
        <v>23.13</v>
      </c>
      <c r="E11" s="12">
        <v>177</v>
      </c>
      <c r="F11" s="8">
        <v>18.48</v>
      </c>
      <c r="G11" s="12">
        <v>269</v>
      </c>
      <c r="H11" s="8">
        <v>27.88</v>
      </c>
      <c r="I11" s="12">
        <v>5</v>
      </c>
    </row>
    <row r="12" spans="2:9" ht="15" customHeight="1" x14ac:dyDescent="0.2">
      <c r="B12" t="s">
        <v>82</v>
      </c>
      <c r="C12" s="12">
        <v>19</v>
      </c>
      <c r="D12" s="8">
        <v>0.97</v>
      </c>
      <c r="E12" s="12">
        <v>3</v>
      </c>
      <c r="F12" s="8">
        <v>0.31</v>
      </c>
      <c r="G12" s="12">
        <v>16</v>
      </c>
      <c r="H12" s="8">
        <v>1.66</v>
      </c>
      <c r="I12" s="12">
        <v>0</v>
      </c>
    </row>
    <row r="13" spans="2:9" ht="15" customHeight="1" x14ac:dyDescent="0.2">
      <c r="B13" t="s">
        <v>83</v>
      </c>
      <c r="C13" s="12">
        <v>230</v>
      </c>
      <c r="D13" s="8">
        <v>11.79</v>
      </c>
      <c r="E13" s="12">
        <v>91</v>
      </c>
      <c r="F13" s="8">
        <v>9.5</v>
      </c>
      <c r="G13" s="12">
        <v>138</v>
      </c>
      <c r="H13" s="8">
        <v>14.3</v>
      </c>
      <c r="I13" s="12">
        <v>0</v>
      </c>
    </row>
    <row r="14" spans="2:9" ht="15" customHeight="1" x14ac:dyDescent="0.2">
      <c r="B14" t="s">
        <v>84</v>
      </c>
      <c r="C14" s="12">
        <v>112</v>
      </c>
      <c r="D14" s="8">
        <v>5.74</v>
      </c>
      <c r="E14" s="12">
        <v>47</v>
      </c>
      <c r="F14" s="8">
        <v>4.91</v>
      </c>
      <c r="G14" s="12">
        <v>64</v>
      </c>
      <c r="H14" s="8">
        <v>6.63</v>
      </c>
      <c r="I14" s="12">
        <v>1</v>
      </c>
    </row>
    <row r="15" spans="2:9" ht="15" customHeight="1" x14ac:dyDescent="0.2">
      <c r="B15" t="s">
        <v>85</v>
      </c>
      <c r="C15" s="12">
        <v>212</v>
      </c>
      <c r="D15" s="8">
        <v>10.87</v>
      </c>
      <c r="E15" s="12">
        <v>188</v>
      </c>
      <c r="F15" s="8">
        <v>19.62</v>
      </c>
      <c r="G15" s="12">
        <v>24</v>
      </c>
      <c r="H15" s="8">
        <v>2.4900000000000002</v>
      </c>
      <c r="I15" s="12">
        <v>0</v>
      </c>
    </row>
    <row r="16" spans="2:9" ht="15" customHeight="1" x14ac:dyDescent="0.2">
      <c r="B16" t="s">
        <v>86</v>
      </c>
      <c r="C16" s="12">
        <v>276</v>
      </c>
      <c r="D16" s="8">
        <v>14.15</v>
      </c>
      <c r="E16" s="12">
        <v>206</v>
      </c>
      <c r="F16" s="8">
        <v>21.5</v>
      </c>
      <c r="G16" s="12">
        <v>70</v>
      </c>
      <c r="H16" s="8">
        <v>7.25</v>
      </c>
      <c r="I16" s="12">
        <v>0</v>
      </c>
    </row>
    <row r="17" spans="2:9" ht="15" customHeight="1" x14ac:dyDescent="0.2">
      <c r="B17" t="s">
        <v>87</v>
      </c>
      <c r="C17" s="12">
        <v>104</v>
      </c>
      <c r="D17" s="8">
        <v>5.33</v>
      </c>
      <c r="E17" s="12">
        <v>69</v>
      </c>
      <c r="F17" s="8">
        <v>7.2</v>
      </c>
      <c r="G17" s="12">
        <v>21</v>
      </c>
      <c r="H17" s="8">
        <v>2.1800000000000002</v>
      </c>
      <c r="I17" s="12">
        <v>14</v>
      </c>
    </row>
    <row r="18" spans="2:9" ht="15" customHeight="1" x14ac:dyDescent="0.2">
      <c r="B18" t="s">
        <v>88</v>
      </c>
      <c r="C18" s="12">
        <v>82</v>
      </c>
      <c r="D18" s="8">
        <v>4.21</v>
      </c>
      <c r="E18" s="12">
        <v>53</v>
      </c>
      <c r="F18" s="8">
        <v>5.53</v>
      </c>
      <c r="G18" s="12">
        <v>29</v>
      </c>
      <c r="H18" s="8">
        <v>3.01</v>
      </c>
      <c r="I18" s="12">
        <v>0</v>
      </c>
    </row>
    <row r="19" spans="2:9" ht="15" customHeight="1" x14ac:dyDescent="0.2">
      <c r="B19" t="s">
        <v>89</v>
      </c>
      <c r="C19" s="12">
        <v>65</v>
      </c>
      <c r="D19" s="8">
        <v>3.33</v>
      </c>
      <c r="E19" s="12">
        <v>22</v>
      </c>
      <c r="F19" s="8">
        <v>2.2999999999999998</v>
      </c>
      <c r="G19" s="12">
        <v>37</v>
      </c>
      <c r="H19" s="8">
        <v>3.83</v>
      </c>
      <c r="I19" s="12">
        <v>4</v>
      </c>
    </row>
    <row r="20" spans="2:9" ht="15" customHeight="1" x14ac:dyDescent="0.2">
      <c r="B20" s="9" t="s">
        <v>285</v>
      </c>
      <c r="C20" s="12">
        <f>SUM(LTBL_40218[総数／事業所数])</f>
        <v>1950</v>
      </c>
      <c r="E20" s="12">
        <f>SUBTOTAL(109,LTBL_40218[個人／事業所数])</f>
        <v>958</v>
      </c>
      <c r="G20" s="12">
        <f>SUBTOTAL(109,LTBL_40218[法人／事業所数])</f>
        <v>965</v>
      </c>
      <c r="I20" s="12">
        <f>SUBTOTAL(109,LTBL_40218[法人以外の団体／事業所数])</f>
        <v>24</v>
      </c>
    </row>
    <row r="21" spans="2:9" ht="15" customHeight="1" x14ac:dyDescent="0.2">
      <c r="E21" s="11">
        <f>LTBL_40218[[#Totals],[個人／事業所数]]/LTBL_40218[[#Totals],[総数／事業所数]]</f>
        <v>0.49128205128205127</v>
      </c>
      <c r="G21" s="11">
        <f>LTBL_40218[[#Totals],[法人／事業所数]]/LTBL_40218[[#Totals],[総数／事業所数]]</f>
        <v>0.49487179487179489</v>
      </c>
      <c r="I21" s="11">
        <f>LTBL_40218[[#Totals],[法人以外の団体／事業所数]]/LTBL_40218[[#Totals],[総数／事業所数]]</f>
        <v>1.2307692307692308E-2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228</v>
      </c>
      <c r="D24" s="8">
        <v>11.69</v>
      </c>
      <c r="E24" s="12">
        <v>184</v>
      </c>
      <c r="F24" s="8">
        <v>19.21</v>
      </c>
      <c r="G24" s="12">
        <v>44</v>
      </c>
      <c r="H24" s="8">
        <v>4.5599999999999996</v>
      </c>
      <c r="I24" s="12">
        <v>0</v>
      </c>
    </row>
    <row r="25" spans="2:9" ht="15" customHeight="1" x14ac:dyDescent="0.2">
      <c r="B25" t="s">
        <v>112</v>
      </c>
      <c r="C25" s="12">
        <v>197</v>
      </c>
      <c r="D25" s="8">
        <v>10.1</v>
      </c>
      <c r="E25" s="12">
        <v>184</v>
      </c>
      <c r="F25" s="8">
        <v>19.21</v>
      </c>
      <c r="G25" s="12">
        <v>13</v>
      </c>
      <c r="H25" s="8">
        <v>1.35</v>
      </c>
      <c r="I25" s="12">
        <v>0</v>
      </c>
    </row>
    <row r="26" spans="2:9" ht="15" customHeight="1" x14ac:dyDescent="0.2">
      <c r="B26" t="s">
        <v>109</v>
      </c>
      <c r="C26" s="12">
        <v>193</v>
      </c>
      <c r="D26" s="8">
        <v>9.9</v>
      </c>
      <c r="E26" s="12">
        <v>82</v>
      </c>
      <c r="F26" s="8">
        <v>8.56</v>
      </c>
      <c r="G26" s="12">
        <v>110</v>
      </c>
      <c r="H26" s="8">
        <v>11.4</v>
      </c>
      <c r="I26" s="12">
        <v>0</v>
      </c>
    </row>
    <row r="27" spans="2:9" ht="15" customHeight="1" x14ac:dyDescent="0.2">
      <c r="B27" t="s">
        <v>99</v>
      </c>
      <c r="C27" s="12">
        <v>108</v>
      </c>
      <c r="D27" s="8">
        <v>5.54</v>
      </c>
      <c r="E27" s="12">
        <v>28</v>
      </c>
      <c r="F27" s="8">
        <v>2.92</v>
      </c>
      <c r="G27" s="12">
        <v>80</v>
      </c>
      <c r="H27" s="8">
        <v>8.2899999999999991</v>
      </c>
      <c r="I27" s="12">
        <v>0</v>
      </c>
    </row>
    <row r="28" spans="2:9" ht="15" customHeight="1" x14ac:dyDescent="0.2">
      <c r="B28" t="s">
        <v>98</v>
      </c>
      <c r="C28" s="12">
        <v>107</v>
      </c>
      <c r="D28" s="8">
        <v>5.49</v>
      </c>
      <c r="E28" s="12">
        <v>22</v>
      </c>
      <c r="F28" s="8">
        <v>2.2999999999999998</v>
      </c>
      <c r="G28" s="12">
        <v>85</v>
      </c>
      <c r="H28" s="8">
        <v>8.81</v>
      </c>
      <c r="I28" s="12">
        <v>0</v>
      </c>
    </row>
    <row r="29" spans="2:9" ht="15" customHeight="1" x14ac:dyDescent="0.2">
      <c r="B29" t="s">
        <v>114</v>
      </c>
      <c r="C29" s="12">
        <v>104</v>
      </c>
      <c r="D29" s="8">
        <v>5.33</v>
      </c>
      <c r="E29" s="12">
        <v>69</v>
      </c>
      <c r="F29" s="8">
        <v>7.2</v>
      </c>
      <c r="G29" s="12">
        <v>21</v>
      </c>
      <c r="H29" s="8">
        <v>2.1800000000000002</v>
      </c>
      <c r="I29" s="12">
        <v>14</v>
      </c>
    </row>
    <row r="30" spans="2:9" ht="15" customHeight="1" x14ac:dyDescent="0.2">
      <c r="B30" t="s">
        <v>107</v>
      </c>
      <c r="C30" s="12">
        <v>90</v>
      </c>
      <c r="D30" s="8">
        <v>4.62</v>
      </c>
      <c r="E30" s="12">
        <v>42</v>
      </c>
      <c r="F30" s="8">
        <v>4.38</v>
      </c>
      <c r="G30" s="12">
        <v>48</v>
      </c>
      <c r="H30" s="8">
        <v>4.97</v>
      </c>
      <c r="I30" s="12">
        <v>0</v>
      </c>
    </row>
    <row r="31" spans="2:9" ht="15" customHeight="1" x14ac:dyDescent="0.2">
      <c r="B31" t="s">
        <v>100</v>
      </c>
      <c r="C31" s="12">
        <v>84</v>
      </c>
      <c r="D31" s="8">
        <v>4.3099999999999996</v>
      </c>
      <c r="E31" s="12">
        <v>17</v>
      </c>
      <c r="F31" s="8">
        <v>1.77</v>
      </c>
      <c r="G31" s="12">
        <v>67</v>
      </c>
      <c r="H31" s="8">
        <v>6.94</v>
      </c>
      <c r="I31" s="12">
        <v>0</v>
      </c>
    </row>
    <row r="32" spans="2:9" ht="15" customHeight="1" x14ac:dyDescent="0.2">
      <c r="B32" t="s">
        <v>105</v>
      </c>
      <c r="C32" s="12">
        <v>73</v>
      </c>
      <c r="D32" s="8">
        <v>3.74</v>
      </c>
      <c r="E32" s="12">
        <v>49</v>
      </c>
      <c r="F32" s="8">
        <v>5.1100000000000003</v>
      </c>
      <c r="G32" s="12">
        <v>21</v>
      </c>
      <c r="H32" s="8">
        <v>2.1800000000000002</v>
      </c>
      <c r="I32" s="12">
        <v>3</v>
      </c>
    </row>
    <row r="33" spans="2:9" ht="15" customHeight="1" x14ac:dyDescent="0.2">
      <c r="B33" t="s">
        <v>106</v>
      </c>
      <c r="C33" s="12">
        <v>61</v>
      </c>
      <c r="D33" s="8">
        <v>3.13</v>
      </c>
      <c r="E33" s="12">
        <v>42</v>
      </c>
      <c r="F33" s="8">
        <v>4.38</v>
      </c>
      <c r="G33" s="12">
        <v>19</v>
      </c>
      <c r="H33" s="8">
        <v>1.97</v>
      </c>
      <c r="I33" s="12">
        <v>0</v>
      </c>
    </row>
    <row r="34" spans="2:9" ht="15" customHeight="1" x14ac:dyDescent="0.2">
      <c r="B34" t="s">
        <v>115</v>
      </c>
      <c r="C34" s="12">
        <v>60</v>
      </c>
      <c r="D34" s="8">
        <v>3.08</v>
      </c>
      <c r="E34" s="12">
        <v>51</v>
      </c>
      <c r="F34" s="8">
        <v>5.32</v>
      </c>
      <c r="G34" s="12">
        <v>9</v>
      </c>
      <c r="H34" s="8">
        <v>0.93</v>
      </c>
      <c r="I34" s="12">
        <v>0</v>
      </c>
    </row>
    <row r="35" spans="2:9" ht="15" customHeight="1" x14ac:dyDescent="0.2">
      <c r="B35" t="s">
        <v>110</v>
      </c>
      <c r="C35" s="12">
        <v>56</v>
      </c>
      <c r="D35" s="8">
        <v>2.87</v>
      </c>
      <c r="E35" s="12">
        <v>25</v>
      </c>
      <c r="F35" s="8">
        <v>2.61</v>
      </c>
      <c r="G35" s="12">
        <v>30</v>
      </c>
      <c r="H35" s="8">
        <v>3.11</v>
      </c>
      <c r="I35" s="12">
        <v>1</v>
      </c>
    </row>
    <row r="36" spans="2:9" ht="15" customHeight="1" x14ac:dyDescent="0.2">
      <c r="B36" t="s">
        <v>111</v>
      </c>
      <c r="C36" s="12">
        <v>50</v>
      </c>
      <c r="D36" s="8">
        <v>2.56</v>
      </c>
      <c r="E36" s="12">
        <v>21</v>
      </c>
      <c r="F36" s="8">
        <v>2.19</v>
      </c>
      <c r="G36" s="12">
        <v>29</v>
      </c>
      <c r="H36" s="8">
        <v>3.01</v>
      </c>
      <c r="I36" s="12">
        <v>0</v>
      </c>
    </row>
    <row r="37" spans="2:9" ht="15" customHeight="1" x14ac:dyDescent="0.2">
      <c r="B37" t="s">
        <v>103</v>
      </c>
      <c r="C37" s="12">
        <v>44</v>
      </c>
      <c r="D37" s="8">
        <v>2.2599999999999998</v>
      </c>
      <c r="E37" s="12">
        <v>11</v>
      </c>
      <c r="F37" s="8">
        <v>1.1499999999999999</v>
      </c>
      <c r="G37" s="12">
        <v>33</v>
      </c>
      <c r="H37" s="8">
        <v>3.42</v>
      </c>
      <c r="I37" s="12">
        <v>0</v>
      </c>
    </row>
    <row r="38" spans="2:9" ht="15" customHeight="1" x14ac:dyDescent="0.2">
      <c r="B38" t="s">
        <v>102</v>
      </c>
      <c r="C38" s="12">
        <v>41</v>
      </c>
      <c r="D38" s="8">
        <v>2.1</v>
      </c>
      <c r="E38" s="12">
        <v>3</v>
      </c>
      <c r="F38" s="8">
        <v>0.31</v>
      </c>
      <c r="G38" s="12">
        <v>38</v>
      </c>
      <c r="H38" s="8">
        <v>3.94</v>
      </c>
      <c r="I38" s="12">
        <v>0</v>
      </c>
    </row>
    <row r="39" spans="2:9" ht="15" customHeight="1" x14ac:dyDescent="0.2">
      <c r="B39" t="s">
        <v>104</v>
      </c>
      <c r="C39" s="12">
        <v>37</v>
      </c>
      <c r="D39" s="8">
        <v>1.9</v>
      </c>
      <c r="E39" s="12">
        <v>15</v>
      </c>
      <c r="F39" s="8">
        <v>1.57</v>
      </c>
      <c r="G39" s="12">
        <v>21</v>
      </c>
      <c r="H39" s="8">
        <v>2.1800000000000002</v>
      </c>
      <c r="I39" s="12">
        <v>1</v>
      </c>
    </row>
    <row r="40" spans="2:9" ht="15" customHeight="1" x14ac:dyDescent="0.2">
      <c r="B40" t="s">
        <v>126</v>
      </c>
      <c r="C40" s="12">
        <v>34</v>
      </c>
      <c r="D40" s="8">
        <v>1.74</v>
      </c>
      <c r="E40" s="12">
        <v>3</v>
      </c>
      <c r="F40" s="8">
        <v>0.31</v>
      </c>
      <c r="G40" s="12">
        <v>30</v>
      </c>
      <c r="H40" s="8">
        <v>3.11</v>
      </c>
      <c r="I40" s="12">
        <v>1</v>
      </c>
    </row>
    <row r="41" spans="2:9" ht="15" customHeight="1" x14ac:dyDescent="0.2">
      <c r="B41" t="s">
        <v>101</v>
      </c>
      <c r="C41" s="12">
        <v>33</v>
      </c>
      <c r="D41" s="8">
        <v>1.69</v>
      </c>
      <c r="E41" s="12">
        <v>7</v>
      </c>
      <c r="F41" s="8">
        <v>0.73</v>
      </c>
      <c r="G41" s="12">
        <v>26</v>
      </c>
      <c r="H41" s="8">
        <v>2.69</v>
      </c>
      <c r="I41" s="12">
        <v>0</v>
      </c>
    </row>
    <row r="42" spans="2:9" ht="15" customHeight="1" x14ac:dyDescent="0.2">
      <c r="B42" t="s">
        <v>118</v>
      </c>
      <c r="C42" s="12">
        <v>33</v>
      </c>
      <c r="D42" s="8">
        <v>1.69</v>
      </c>
      <c r="E42" s="12">
        <v>15</v>
      </c>
      <c r="F42" s="8">
        <v>1.57</v>
      </c>
      <c r="G42" s="12">
        <v>18</v>
      </c>
      <c r="H42" s="8">
        <v>1.87</v>
      </c>
      <c r="I42" s="12">
        <v>0</v>
      </c>
    </row>
    <row r="43" spans="2:9" ht="15" customHeight="1" x14ac:dyDescent="0.2">
      <c r="B43" t="s">
        <v>124</v>
      </c>
      <c r="C43" s="12">
        <v>31</v>
      </c>
      <c r="D43" s="8">
        <v>1.59</v>
      </c>
      <c r="E43" s="12">
        <v>4</v>
      </c>
      <c r="F43" s="8">
        <v>0.42</v>
      </c>
      <c r="G43" s="12">
        <v>27</v>
      </c>
      <c r="H43" s="8">
        <v>2.8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164</v>
      </c>
      <c r="C47" s="12">
        <v>129</v>
      </c>
      <c r="D47" s="8">
        <v>6.62</v>
      </c>
      <c r="E47" s="12">
        <v>62</v>
      </c>
      <c r="F47" s="8">
        <v>6.47</v>
      </c>
      <c r="G47" s="12">
        <v>67</v>
      </c>
      <c r="H47" s="8">
        <v>6.94</v>
      </c>
      <c r="I47" s="12">
        <v>0</v>
      </c>
    </row>
    <row r="48" spans="2:9" ht="15" customHeight="1" x14ac:dyDescent="0.2">
      <c r="B48" t="s">
        <v>170</v>
      </c>
      <c r="C48" s="12">
        <v>95</v>
      </c>
      <c r="D48" s="8">
        <v>4.87</v>
      </c>
      <c r="E48" s="12">
        <v>87</v>
      </c>
      <c r="F48" s="8">
        <v>9.08</v>
      </c>
      <c r="G48" s="12">
        <v>8</v>
      </c>
      <c r="H48" s="8">
        <v>0.83</v>
      </c>
      <c r="I48" s="12">
        <v>0</v>
      </c>
    </row>
    <row r="49" spans="2:9" ht="15" customHeight="1" x14ac:dyDescent="0.2">
      <c r="B49" t="s">
        <v>169</v>
      </c>
      <c r="C49" s="12">
        <v>71</v>
      </c>
      <c r="D49" s="8">
        <v>3.64</v>
      </c>
      <c r="E49" s="12">
        <v>68</v>
      </c>
      <c r="F49" s="8">
        <v>7.1</v>
      </c>
      <c r="G49" s="12">
        <v>3</v>
      </c>
      <c r="H49" s="8">
        <v>0.31</v>
      </c>
      <c r="I49" s="12">
        <v>0</v>
      </c>
    </row>
    <row r="50" spans="2:9" ht="15" customHeight="1" x14ac:dyDescent="0.2">
      <c r="B50" t="s">
        <v>171</v>
      </c>
      <c r="C50" s="12">
        <v>61</v>
      </c>
      <c r="D50" s="8">
        <v>3.13</v>
      </c>
      <c r="E50" s="12">
        <v>51</v>
      </c>
      <c r="F50" s="8">
        <v>5.32</v>
      </c>
      <c r="G50" s="12">
        <v>10</v>
      </c>
      <c r="H50" s="8">
        <v>1.04</v>
      </c>
      <c r="I50" s="12">
        <v>0</v>
      </c>
    </row>
    <row r="51" spans="2:9" ht="15" customHeight="1" x14ac:dyDescent="0.2">
      <c r="B51" t="s">
        <v>167</v>
      </c>
      <c r="C51" s="12">
        <v>53</v>
      </c>
      <c r="D51" s="8">
        <v>2.72</v>
      </c>
      <c r="E51" s="12">
        <v>50</v>
      </c>
      <c r="F51" s="8">
        <v>5.22</v>
      </c>
      <c r="G51" s="12">
        <v>3</v>
      </c>
      <c r="H51" s="8">
        <v>0.31</v>
      </c>
      <c r="I51" s="12">
        <v>0</v>
      </c>
    </row>
    <row r="52" spans="2:9" ht="15" customHeight="1" x14ac:dyDescent="0.2">
      <c r="B52" t="s">
        <v>156</v>
      </c>
      <c r="C52" s="12">
        <v>47</v>
      </c>
      <c r="D52" s="8">
        <v>2.41</v>
      </c>
      <c r="E52" s="12">
        <v>8</v>
      </c>
      <c r="F52" s="8">
        <v>0.84</v>
      </c>
      <c r="G52" s="12">
        <v>39</v>
      </c>
      <c r="H52" s="8">
        <v>4.04</v>
      </c>
      <c r="I52" s="12">
        <v>0</v>
      </c>
    </row>
    <row r="53" spans="2:9" ht="15" customHeight="1" x14ac:dyDescent="0.2">
      <c r="B53" t="s">
        <v>166</v>
      </c>
      <c r="C53" s="12">
        <v>46</v>
      </c>
      <c r="D53" s="8">
        <v>2.36</v>
      </c>
      <c r="E53" s="12">
        <v>41</v>
      </c>
      <c r="F53" s="8">
        <v>4.28</v>
      </c>
      <c r="G53" s="12">
        <v>5</v>
      </c>
      <c r="H53" s="8">
        <v>0.52</v>
      </c>
      <c r="I53" s="12">
        <v>0</v>
      </c>
    </row>
    <row r="54" spans="2:9" ht="15" customHeight="1" x14ac:dyDescent="0.2">
      <c r="B54" t="s">
        <v>159</v>
      </c>
      <c r="C54" s="12">
        <v>42</v>
      </c>
      <c r="D54" s="8">
        <v>2.15</v>
      </c>
      <c r="E54" s="12">
        <v>32</v>
      </c>
      <c r="F54" s="8">
        <v>3.34</v>
      </c>
      <c r="G54" s="12">
        <v>10</v>
      </c>
      <c r="H54" s="8">
        <v>1.04</v>
      </c>
      <c r="I54" s="12">
        <v>0</v>
      </c>
    </row>
    <row r="55" spans="2:9" ht="15" customHeight="1" x14ac:dyDescent="0.2">
      <c r="B55" t="s">
        <v>168</v>
      </c>
      <c r="C55" s="12">
        <v>39</v>
      </c>
      <c r="D55" s="8">
        <v>2</v>
      </c>
      <c r="E55" s="12">
        <v>38</v>
      </c>
      <c r="F55" s="8">
        <v>3.97</v>
      </c>
      <c r="G55" s="12">
        <v>1</v>
      </c>
      <c r="H55" s="8">
        <v>0.1</v>
      </c>
      <c r="I55" s="12">
        <v>0</v>
      </c>
    </row>
    <row r="56" spans="2:9" ht="15" customHeight="1" x14ac:dyDescent="0.2">
      <c r="B56" t="s">
        <v>172</v>
      </c>
      <c r="C56" s="12">
        <v>37</v>
      </c>
      <c r="D56" s="8">
        <v>1.9</v>
      </c>
      <c r="E56" s="12">
        <v>32</v>
      </c>
      <c r="F56" s="8">
        <v>3.34</v>
      </c>
      <c r="G56" s="12">
        <v>5</v>
      </c>
      <c r="H56" s="8">
        <v>0.52</v>
      </c>
      <c r="I56" s="12">
        <v>0</v>
      </c>
    </row>
    <row r="57" spans="2:9" ht="15" customHeight="1" x14ac:dyDescent="0.2">
      <c r="B57" t="s">
        <v>163</v>
      </c>
      <c r="C57" s="12">
        <v>36</v>
      </c>
      <c r="D57" s="8">
        <v>1.85</v>
      </c>
      <c r="E57" s="12">
        <v>12</v>
      </c>
      <c r="F57" s="8">
        <v>1.25</v>
      </c>
      <c r="G57" s="12">
        <v>24</v>
      </c>
      <c r="H57" s="8">
        <v>2.4900000000000002</v>
      </c>
      <c r="I57" s="12">
        <v>0</v>
      </c>
    </row>
    <row r="58" spans="2:9" ht="15" customHeight="1" x14ac:dyDescent="0.2">
      <c r="B58" t="s">
        <v>155</v>
      </c>
      <c r="C58" s="12">
        <v>35</v>
      </c>
      <c r="D58" s="8">
        <v>1.79</v>
      </c>
      <c r="E58" s="12">
        <v>5</v>
      </c>
      <c r="F58" s="8">
        <v>0.52</v>
      </c>
      <c r="G58" s="12">
        <v>30</v>
      </c>
      <c r="H58" s="8">
        <v>3.11</v>
      </c>
      <c r="I58" s="12">
        <v>0</v>
      </c>
    </row>
    <row r="59" spans="2:9" ht="15" customHeight="1" x14ac:dyDescent="0.2">
      <c r="B59" t="s">
        <v>182</v>
      </c>
      <c r="C59" s="12">
        <v>35</v>
      </c>
      <c r="D59" s="8">
        <v>1.79</v>
      </c>
      <c r="E59" s="12">
        <v>11</v>
      </c>
      <c r="F59" s="8">
        <v>1.1499999999999999</v>
      </c>
      <c r="G59" s="12">
        <v>24</v>
      </c>
      <c r="H59" s="8">
        <v>2.4900000000000002</v>
      </c>
      <c r="I59" s="12">
        <v>0</v>
      </c>
    </row>
    <row r="60" spans="2:9" ht="15" customHeight="1" x14ac:dyDescent="0.2">
      <c r="B60" t="s">
        <v>165</v>
      </c>
      <c r="C60" s="12">
        <v>33</v>
      </c>
      <c r="D60" s="8">
        <v>1.69</v>
      </c>
      <c r="E60" s="12">
        <v>12</v>
      </c>
      <c r="F60" s="8">
        <v>1.25</v>
      </c>
      <c r="G60" s="12">
        <v>21</v>
      </c>
      <c r="H60" s="8">
        <v>2.1800000000000002</v>
      </c>
      <c r="I60" s="12">
        <v>0</v>
      </c>
    </row>
    <row r="61" spans="2:9" ht="15" customHeight="1" x14ac:dyDescent="0.2">
      <c r="B61" t="s">
        <v>160</v>
      </c>
      <c r="C61" s="12">
        <v>30</v>
      </c>
      <c r="D61" s="8">
        <v>1.54</v>
      </c>
      <c r="E61" s="12">
        <v>5</v>
      </c>
      <c r="F61" s="8">
        <v>0.52</v>
      </c>
      <c r="G61" s="12">
        <v>25</v>
      </c>
      <c r="H61" s="8">
        <v>2.59</v>
      </c>
      <c r="I61" s="12">
        <v>0</v>
      </c>
    </row>
    <row r="62" spans="2:9" ht="15" customHeight="1" x14ac:dyDescent="0.2">
      <c r="B62" t="s">
        <v>187</v>
      </c>
      <c r="C62" s="12">
        <v>28</v>
      </c>
      <c r="D62" s="8">
        <v>1.44</v>
      </c>
      <c r="E62" s="12">
        <v>9</v>
      </c>
      <c r="F62" s="8">
        <v>0.94</v>
      </c>
      <c r="G62" s="12">
        <v>19</v>
      </c>
      <c r="H62" s="8">
        <v>1.97</v>
      </c>
      <c r="I62" s="12">
        <v>0</v>
      </c>
    </row>
    <row r="63" spans="2:9" ht="15" customHeight="1" x14ac:dyDescent="0.2">
      <c r="B63" t="s">
        <v>202</v>
      </c>
      <c r="C63" s="12">
        <v>28</v>
      </c>
      <c r="D63" s="8">
        <v>1.44</v>
      </c>
      <c r="E63" s="12">
        <v>7</v>
      </c>
      <c r="F63" s="8">
        <v>0.73</v>
      </c>
      <c r="G63" s="12">
        <v>21</v>
      </c>
      <c r="H63" s="8">
        <v>2.1800000000000002</v>
      </c>
      <c r="I63" s="12">
        <v>0</v>
      </c>
    </row>
    <row r="64" spans="2:9" ht="15" customHeight="1" x14ac:dyDescent="0.2">
      <c r="B64" t="s">
        <v>174</v>
      </c>
      <c r="C64" s="12">
        <v>28</v>
      </c>
      <c r="D64" s="8">
        <v>1.44</v>
      </c>
      <c r="E64" s="12">
        <v>8</v>
      </c>
      <c r="F64" s="8">
        <v>0.84</v>
      </c>
      <c r="G64" s="12">
        <v>20</v>
      </c>
      <c r="H64" s="8">
        <v>2.0699999999999998</v>
      </c>
      <c r="I64" s="12">
        <v>0</v>
      </c>
    </row>
    <row r="65" spans="2:9" ht="15" customHeight="1" x14ac:dyDescent="0.2">
      <c r="B65" t="s">
        <v>220</v>
      </c>
      <c r="C65" s="12">
        <v>28</v>
      </c>
      <c r="D65" s="8">
        <v>1.44</v>
      </c>
      <c r="E65" s="12">
        <v>18</v>
      </c>
      <c r="F65" s="8">
        <v>1.88</v>
      </c>
      <c r="G65" s="12">
        <v>10</v>
      </c>
      <c r="H65" s="8">
        <v>1.04</v>
      </c>
      <c r="I65" s="12">
        <v>0</v>
      </c>
    </row>
    <row r="66" spans="2:9" ht="15" customHeight="1" x14ac:dyDescent="0.2">
      <c r="B66" t="s">
        <v>203</v>
      </c>
      <c r="C66" s="12">
        <v>27</v>
      </c>
      <c r="D66" s="8">
        <v>1.38</v>
      </c>
      <c r="E66" s="12">
        <v>5</v>
      </c>
      <c r="F66" s="8">
        <v>0.52</v>
      </c>
      <c r="G66" s="12">
        <v>22</v>
      </c>
      <c r="H66" s="8">
        <v>2.2799999999999998</v>
      </c>
      <c r="I66" s="12">
        <v>0</v>
      </c>
    </row>
    <row r="67" spans="2:9" ht="15" customHeight="1" x14ac:dyDescent="0.2">
      <c r="B67" t="s">
        <v>161</v>
      </c>
      <c r="C67" s="12">
        <v>27</v>
      </c>
      <c r="D67" s="8">
        <v>1.38</v>
      </c>
      <c r="E67" s="12">
        <v>19</v>
      </c>
      <c r="F67" s="8">
        <v>1.98</v>
      </c>
      <c r="G67" s="12">
        <v>8</v>
      </c>
      <c r="H67" s="8">
        <v>0.83</v>
      </c>
      <c r="I67" s="12">
        <v>0</v>
      </c>
    </row>
    <row r="69" spans="2:9" ht="15" customHeight="1" x14ac:dyDescent="0.2">
      <c r="B69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20C7A-6D51-44EA-BB31-7D030E2C895B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320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365</v>
      </c>
      <c r="D6" s="8">
        <v>16.59</v>
      </c>
      <c r="E6" s="12">
        <v>67</v>
      </c>
      <c r="F6" s="8">
        <v>7.66</v>
      </c>
      <c r="G6" s="12">
        <v>298</v>
      </c>
      <c r="H6" s="8">
        <v>22.98</v>
      </c>
      <c r="I6" s="12">
        <v>0</v>
      </c>
    </row>
    <row r="7" spans="2:9" ht="15" customHeight="1" x14ac:dyDescent="0.2">
      <c r="B7" t="s">
        <v>77</v>
      </c>
      <c r="C7" s="12">
        <v>214</v>
      </c>
      <c r="D7" s="8">
        <v>9.73</v>
      </c>
      <c r="E7" s="12">
        <v>59</v>
      </c>
      <c r="F7" s="8">
        <v>6.74</v>
      </c>
      <c r="G7" s="12">
        <v>155</v>
      </c>
      <c r="H7" s="8">
        <v>11.95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0.05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19</v>
      </c>
      <c r="D9" s="8">
        <v>0.86</v>
      </c>
      <c r="E9" s="12">
        <v>0</v>
      </c>
      <c r="F9" s="8">
        <v>0</v>
      </c>
      <c r="G9" s="12">
        <v>19</v>
      </c>
      <c r="H9" s="8">
        <v>1.46</v>
      </c>
      <c r="I9" s="12">
        <v>0</v>
      </c>
    </row>
    <row r="10" spans="2:9" ht="15" customHeight="1" x14ac:dyDescent="0.2">
      <c r="B10" t="s">
        <v>80</v>
      </c>
      <c r="C10" s="12">
        <v>22</v>
      </c>
      <c r="D10" s="8">
        <v>1</v>
      </c>
      <c r="E10" s="12">
        <v>13</v>
      </c>
      <c r="F10" s="8">
        <v>1.49</v>
      </c>
      <c r="G10" s="12">
        <v>9</v>
      </c>
      <c r="H10" s="8">
        <v>0.69</v>
      </c>
      <c r="I10" s="12">
        <v>0</v>
      </c>
    </row>
    <row r="11" spans="2:9" ht="15" customHeight="1" x14ac:dyDescent="0.2">
      <c r="B11" t="s">
        <v>81</v>
      </c>
      <c r="C11" s="12">
        <v>534</v>
      </c>
      <c r="D11" s="8">
        <v>24.27</v>
      </c>
      <c r="E11" s="12">
        <v>173</v>
      </c>
      <c r="F11" s="8">
        <v>19.77</v>
      </c>
      <c r="G11" s="12">
        <v>360</v>
      </c>
      <c r="H11" s="8">
        <v>27.76</v>
      </c>
      <c r="I11" s="12">
        <v>1</v>
      </c>
    </row>
    <row r="12" spans="2:9" ht="15" customHeight="1" x14ac:dyDescent="0.2">
      <c r="B12" t="s">
        <v>82</v>
      </c>
      <c r="C12" s="12">
        <v>7</v>
      </c>
      <c r="D12" s="8">
        <v>0.32</v>
      </c>
      <c r="E12" s="12">
        <v>3</v>
      </c>
      <c r="F12" s="8">
        <v>0.34</v>
      </c>
      <c r="G12" s="12">
        <v>4</v>
      </c>
      <c r="H12" s="8">
        <v>0.31</v>
      </c>
      <c r="I12" s="12">
        <v>0</v>
      </c>
    </row>
    <row r="13" spans="2:9" ht="15" customHeight="1" x14ac:dyDescent="0.2">
      <c r="B13" t="s">
        <v>83</v>
      </c>
      <c r="C13" s="12">
        <v>281</v>
      </c>
      <c r="D13" s="8">
        <v>12.77</v>
      </c>
      <c r="E13" s="12">
        <v>119</v>
      </c>
      <c r="F13" s="8">
        <v>13.6</v>
      </c>
      <c r="G13" s="12">
        <v>162</v>
      </c>
      <c r="H13" s="8">
        <v>12.49</v>
      </c>
      <c r="I13" s="12">
        <v>0</v>
      </c>
    </row>
    <row r="14" spans="2:9" ht="15" customHeight="1" x14ac:dyDescent="0.2">
      <c r="B14" t="s">
        <v>84</v>
      </c>
      <c r="C14" s="12">
        <v>97</v>
      </c>
      <c r="D14" s="8">
        <v>4.41</v>
      </c>
      <c r="E14" s="12">
        <v>34</v>
      </c>
      <c r="F14" s="8">
        <v>3.89</v>
      </c>
      <c r="G14" s="12">
        <v>63</v>
      </c>
      <c r="H14" s="8">
        <v>4.8600000000000003</v>
      </c>
      <c r="I14" s="12">
        <v>0</v>
      </c>
    </row>
    <row r="15" spans="2:9" ht="15" customHeight="1" x14ac:dyDescent="0.2">
      <c r="B15" t="s">
        <v>85</v>
      </c>
      <c r="C15" s="12">
        <v>137</v>
      </c>
      <c r="D15" s="8">
        <v>6.23</v>
      </c>
      <c r="E15" s="12">
        <v>106</v>
      </c>
      <c r="F15" s="8">
        <v>12.11</v>
      </c>
      <c r="G15" s="12">
        <v>31</v>
      </c>
      <c r="H15" s="8">
        <v>2.39</v>
      </c>
      <c r="I15" s="12">
        <v>0</v>
      </c>
    </row>
    <row r="16" spans="2:9" ht="15" customHeight="1" x14ac:dyDescent="0.2">
      <c r="B16" t="s">
        <v>86</v>
      </c>
      <c r="C16" s="12">
        <v>224</v>
      </c>
      <c r="D16" s="8">
        <v>10.18</v>
      </c>
      <c r="E16" s="12">
        <v>150</v>
      </c>
      <c r="F16" s="8">
        <v>17.14</v>
      </c>
      <c r="G16" s="12">
        <v>74</v>
      </c>
      <c r="H16" s="8">
        <v>5.71</v>
      </c>
      <c r="I16" s="12">
        <v>0</v>
      </c>
    </row>
    <row r="17" spans="2:9" ht="15" customHeight="1" x14ac:dyDescent="0.2">
      <c r="B17" t="s">
        <v>87</v>
      </c>
      <c r="C17" s="12">
        <v>87</v>
      </c>
      <c r="D17" s="8">
        <v>3.95</v>
      </c>
      <c r="E17" s="12">
        <v>46</v>
      </c>
      <c r="F17" s="8">
        <v>5.26</v>
      </c>
      <c r="G17" s="12">
        <v>16</v>
      </c>
      <c r="H17" s="8">
        <v>1.23</v>
      </c>
      <c r="I17" s="12">
        <v>25</v>
      </c>
    </row>
    <row r="18" spans="2:9" ht="15" customHeight="1" x14ac:dyDescent="0.2">
      <c r="B18" t="s">
        <v>88</v>
      </c>
      <c r="C18" s="12">
        <v>103</v>
      </c>
      <c r="D18" s="8">
        <v>4.68</v>
      </c>
      <c r="E18" s="12">
        <v>64</v>
      </c>
      <c r="F18" s="8">
        <v>7.31</v>
      </c>
      <c r="G18" s="12">
        <v>39</v>
      </c>
      <c r="H18" s="8">
        <v>3.01</v>
      </c>
      <c r="I18" s="12">
        <v>0</v>
      </c>
    </row>
    <row r="19" spans="2:9" ht="15" customHeight="1" x14ac:dyDescent="0.2">
      <c r="B19" t="s">
        <v>89</v>
      </c>
      <c r="C19" s="12">
        <v>109</v>
      </c>
      <c r="D19" s="8">
        <v>4.95</v>
      </c>
      <c r="E19" s="12">
        <v>41</v>
      </c>
      <c r="F19" s="8">
        <v>4.6900000000000004</v>
      </c>
      <c r="G19" s="12">
        <v>67</v>
      </c>
      <c r="H19" s="8">
        <v>5.17</v>
      </c>
      <c r="I19" s="12">
        <v>0</v>
      </c>
    </row>
    <row r="20" spans="2:9" ht="15" customHeight="1" x14ac:dyDescent="0.2">
      <c r="B20" s="9" t="s">
        <v>285</v>
      </c>
      <c r="C20" s="12">
        <f>SUM(LTBL_40219[総数／事業所数])</f>
        <v>2200</v>
      </c>
      <c r="E20" s="12">
        <f>SUBTOTAL(109,LTBL_40219[個人／事業所数])</f>
        <v>875</v>
      </c>
      <c r="G20" s="12">
        <f>SUBTOTAL(109,LTBL_40219[法人／事業所数])</f>
        <v>1297</v>
      </c>
      <c r="I20" s="12">
        <f>SUBTOTAL(109,LTBL_40219[法人以外の団体／事業所数])</f>
        <v>26</v>
      </c>
    </row>
    <row r="21" spans="2:9" ht="15" customHeight="1" x14ac:dyDescent="0.2">
      <c r="E21" s="11">
        <f>LTBL_40219[[#Totals],[個人／事業所数]]/LTBL_40219[[#Totals],[総数／事業所数]]</f>
        <v>0.39772727272727271</v>
      </c>
      <c r="G21" s="11">
        <f>LTBL_40219[[#Totals],[法人／事業所数]]/LTBL_40219[[#Totals],[総数／事業所数]]</f>
        <v>0.58954545454545459</v>
      </c>
      <c r="I21" s="11">
        <f>LTBL_40219[[#Totals],[法人以外の団体／事業所数]]/LTBL_40219[[#Totals],[総数／事業所数]]</f>
        <v>1.1818181818181818E-2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109</v>
      </c>
      <c r="C24" s="12">
        <v>223</v>
      </c>
      <c r="D24" s="8">
        <v>10.14</v>
      </c>
      <c r="E24" s="12">
        <v>110</v>
      </c>
      <c r="F24" s="8">
        <v>12.57</v>
      </c>
      <c r="G24" s="12">
        <v>113</v>
      </c>
      <c r="H24" s="8">
        <v>8.7100000000000009</v>
      </c>
      <c r="I24" s="12">
        <v>0</v>
      </c>
    </row>
    <row r="25" spans="2:9" ht="15" customHeight="1" x14ac:dyDescent="0.2">
      <c r="B25" t="s">
        <v>113</v>
      </c>
      <c r="C25" s="12">
        <v>183</v>
      </c>
      <c r="D25" s="8">
        <v>8.32</v>
      </c>
      <c r="E25" s="12">
        <v>133</v>
      </c>
      <c r="F25" s="8">
        <v>15.2</v>
      </c>
      <c r="G25" s="12">
        <v>50</v>
      </c>
      <c r="H25" s="8">
        <v>3.86</v>
      </c>
      <c r="I25" s="12">
        <v>0</v>
      </c>
    </row>
    <row r="26" spans="2:9" ht="15" customHeight="1" x14ac:dyDescent="0.2">
      <c r="B26" t="s">
        <v>98</v>
      </c>
      <c r="C26" s="12">
        <v>151</v>
      </c>
      <c r="D26" s="8">
        <v>6.86</v>
      </c>
      <c r="E26" s="12">
        <v>21</v>
      </c>
      <c r="F26" s="8">
        <v>2.4</v>
      </c>
      <c r="G26" s="12">
        <v>130</v>
      </c>
      <c r="H26" s="8">
        <v>10.02</v>
      </c>
      <c r="I26" s="12">
        <v>0</v>
      </c>
    </row>
    <row r="27" spans="2:9" ht="15" customHeight="1" x14ac:dyDescent="0.2">
      <c r="B27" t="s">
        <v>99</v>
      </c>
      <c r="C27" s="12">
        <v>126</v>
      </c>
      <c r="D27" s="8">
        <v>5.73</v>
      </c>
      <c r="E27" s="12">
        <v>34</v>
      </c>
      <c r="F27" s="8">
        <v>3.89</v>
      </c>
      <c r="G27" s="12">
        <v>92</v>
      </c>
      <c r="H27" s="8">
        <v>7.09</v>
      </c>
      <c r="I27" s="12">
        <v>0</v>
      </c>
    </row>
    <row r="28" spans="2:9" ht="15" customHeight="1" x14ac:dyDescent="0.2">
      <c r="B28" t="s">
        <v>112</v>
      </c>
      <c r="C28" s="12">
        <v>113</v>
      </c>
      <c r="D28" s="8">
        <v>5.14</v>
      </c>
      <c r="E28" s="12">
        <v>102</v>
      </c>
      <c r="F28" s="8">
        <v>11.66</v>
      </c>
      <c r="G28" s="12">
        <v>11</v>
      </c>
      <c r="H28" s="8">
        <v>0.85</v>
      </c>
      <c r="I28" s="12">
        <v>0</v>
      </c>
    </row>
    <row r="29" spans="2:9" ht="15" customHeight="1" x14ac:dyDescent="0.2">
      <c r="B29" t="s">
        <v>102</v>
      </c>
      <c r="C29" s="12">
        <v>102</v>
      </c>
      <c r="D29" s="8">
        <v>4.6399999999999997</v>
      </c>
      <c r="E29" s="12">
        <v>7</v>
      </c>
      <c r="F29" s="8">
        <v>0.8</v>
      </c>
      <c r="G29" s="12">
        <v>95</v>
      </c>
      <c r="H29" s="8">
        <v>7.32</v>
      </c>
      <c r="I29" s="12">
        <v>0</v>
      </c>
    </row>
    <row r="30" spans="2:9" ht="15" customHeight="1" x14ac:dyDescent="0.2">
      <c r="B30" t="s">
        <v>106</v>
      </c>
      <c r="C30" s="12">
        <v>93</v>
      </c>
      <c r="D30" s="8">
        <v>4.2300000000000004</v>
      </c>
      <c r="E30" s="12">
        <v>51</v>
      </c>
      <c r="F30" s="8">
        <v>5.83</v>
      </c>
      <c r="G30" s="12">
        <v>42</v>
      </c>
      <c r="H30" s="8">
        <v>3.24</v>
      </c>
      <c r="I30" s="12">
        <v>0</v>
      </c>
    </row>
    <row r="31" spans="2:9" ht="15" customHeight="1" x14ac:dyDescent="0.2">
      <c r="B31" t="s">
        <v>100</v>
      </c>
      <c r="C31" s="12">
        <v>88</v>
      </c>
      <c r="D31" s="8">
        <v>4</v>
      </c>
      <c r="E31" s="12">
        <v>12</v>
      </c>
      <c r="F31" s="8">
        <v>1.37</v>
      </c>
      <c r="G31" s="12">
        <v>76</v>
      </c>
      <c r="H31" s="8">
        <v>5.86</v>
      </c>
      <c r="I31" s="12">
        <v>0</v>
      </c>
    </row>
    <row r="32" spans="2:9" ht="15" customHeight="1" x14ac:dyDescent="0.2">
      <c r="B32" t="s">
        <v>114</v>
      </c>
      <c r="C32" s="12">
        <v>87</v>
      </c>
      <c r="D32" s="8">
        <v>3.95</v>
      </c>
      <c r="E32" s="12">
        <v>46</v>
      </c>
      <c r="F32" s="8">
        <v>5.26</v>
      </c>
      <c r="G32" s="12">
        <v>16</v>
      </c>
      <c r="H32" s="8">
        <v>1.23</v>
      </c>
      <c r="I32" s="12">
        <v>25</v>
      </c>
    </row>
    <row r="33" spans="2:9" ht="15" customHeight="1" x14ac:dyDescent="0.2">
      <c r="B33" t="s">
        <v>107</v>
      </c>
      <c r="C33" s="12">
        <v>85</v>
      </c>
      <c r="D33" s="8">
        <v>3.86</v>
      </c>
      <c r="E33" s="12">
        <v>32</v>
      </c>
      <c r="F33" s="8">
        <v>3.66</v>
      </c>
      <c r="G33" s="12">
        <v>53</v>
      </c>
      <c r="H33" s="8">
        <v>4.09</v>
      </c>
      <c r="I33" s="12">
        <v>0</v>
      </c>
    </row>
    <row r="34" spans="2:9" ht="15" customHeight="1" x14ac:dyDescent="0.2">
      <c r="B34" t="s">
        <v>105</v>
      </c>
      <c r="C34" s="12">
        <v>72</v>
      </c>
      <c r="D34" s="8">
        <v>3.27</v>
      </c>
      <c r="E34" s="12">
        <v>47</v>
      </c>
      <c r="F34" s="8">
        <v>5.37</v>
      </c>
      <c r="G34" s="12">
        <v>24</v>
      </c>
      <c r="H34" s="8">
        <v>1.85</v>
      </c>
      <c r="I34" s="12">
        <v>1</v>
      </c>
    </row>
    <row r="35" spans="2:9" ht="15" customHeight="1" x14ac:dyDescent="0.2">
      <c r="B35" t="s">
        <v>115</v>
      </c>
      <c r="C35" s="12">
        <v>71</v>
      </c>
      <c r="D35" s="8">
        <v>3.23</v>
      </c>
      <c r="E35" s="12">
        <v>63</v>
      </c>
      <c r="F35" s="8">
        <v>7.2</v>
      </c>
      <c r="G35" s="12">
        <v>8</v>
      </c>
      <c r="H35" s="8">
        <v>0.62</v>
      </c>
      <c r="I35" s="12">
        <v>0</v>
      </c>
    </row>
    <row r="36" spans="2:9" ht="15" customHeight="1" x14ac:dyDescent="0.2">
      <c r="B36" t="s">
        <v>119</v>
      </c>
      <c r="C36" s="12">
        <v>70</v>
      </c>
      <c r="D36" s="8">
        <v>3.18</v>
      </c>
      <c r="E36" s="12">
        <v>24</v>
      </c>
      <c r="F36" s="8">
        <v>2.74</v>
      </c>
      <c r="G36" s="12">
        <v>46</v>
      </c>
      <c r="H36" s="8">
        <v>3.55</v>
      </c>
      <c r="I36" s="12">
        <v>0</v>
      </c>
    </row>
    <row r="37" spans="2:9" ht="15" customHeight="1" x14ac:dyDescent="0.2">
      <c r="B37" t="s">
        <v>123</v>
      </c>
      <c r="C37" s="12">
        <v>51</v>
      </c>
      <c r="D37" s="8">
        <v>2.3199999999999998</v>
      </c>
      <c r="E37" s="12">
        <v>34</v>
      </c>
      <c r="F37" s="8">
        <v>3.89</v>
      </c>
      <c r="G37" s="12">
        <v>17</v>
      </c>
      <c r="H37" s="8">
        <v>1.31</v>
      </c>
      <c r="I37" s="12">
        <v>0</v>
      </c>
    </row>
    <row r="38" spans="2:9" ht="15" customHeight="1" x14ac:dyDescent="0.2">
      <c r="B38" t="s">
        <v>111</v>
      </c>
      <c r="C38" s="12">
        <v>48</v>
      </c>
      <c r="D38" s="8">
        <v>2.1800000000000002</v>
      </c>
      <c r="E38" s="12">
        <v>14</v>
      </c>
      <c r="F38" s="8">
        <v>1.6</v>
      </c>
      <c r="G38" s="12">
        <v>34</v>
      </c>
      <c r="H38" s="8">
        <v>2.62</v>
      </c>
      <c r="I38" s="12">
        <v>0</v>
      </c>
    </row>
    <row r="39" spans="2:9" ht="15" customHeight="1" x14ac:dyDescent="0.2">
      <c r="B39" t="s">
        <v>103</v>
      </c>
      <c r="C39" s="12">
        <v>45</v>
      </c>
      <c r="D39" s="8">
        <v>2.0499999999999998</v>
      </c>
      <c r="E39" s="12">
        <v>6</v>
      </c>
      <c r="F39" s="8">
        <v>0.69</v>
      </c>
      <c r="G39" s="12">
        <v>39</v>
      </c>
      <c r="H39" s="8">
        <v>3.01</v>
      </c>
      <c r="I39" s="12">
        <v>0</v>
      </c>
    </row>
    <row r="40" spans="2:9" ht="15" customHeight="1" x14ac:dyDescent="0.2">
      <c r="B40" t="s">
        <v>110</v>
      </c>
      <c r="C40" s="12">
        <v>43</v>
      </c>
      <c r="D40" s="8">
        <v>1.95</v>
      </c>
      <c r="E40" s="12">
        <v>20</v>
      </c>
      <c r="F40" s="8">
        <v>2.29</v>
      </c>
      <c r="G40" s="12">
        <v>23</v>
      </c>
      <c r="H40" s="8">
        <v>1.77</v>
      </c>
      <c r="I40" s="12">
        <v>0</v>
      </c>
    </row>
    <row r="41" spans="2:9" ht="15" customHeight="1" x14ac:dyDescent="0.2">
      <c r="B41" t="s">
        <v>101</v>
      </c>
      <c r="C41" s="12">
        <v>42</v>
      </c>
      <c r="D41" s="8">
        <v>1.91</v>
      </c>
      <c r="E41" s="12">
        <v>4</v>
      </c>
      <c r="F41" s="8">
        <v>0.46</v>
      </c>
      <c r="G41" s="12">
        <v>38</v>
      </c>
      <c r="H41" s="8">
        <v>2.93</v>
      </c>
      <c r="I41" s="12">
        <v>0</v>
      </c>
    </row>
    <row r="42" spans="2:9" ht="15" customHeight="1" x14ac:dyDescent="0.2">
      <c r="B42" t="s">
        <v>108</v>
      </c>
      <c r="C42" s="12">
        <v>40</v>
      </c>
      <c r="D42" s="8">
        <v>1.82</v>
      </c>
      <c r="E42" s="12">
        <v>8</v>
      </c>
      <c r="F42" s="8">
        <v>0.91</v>
      </c>
      <c r="G42" s="12">
        <v>32</v>
      </c>
      <c r="H42" s="8">
        <v>2.4700000000000002</v>
      </c>
      <c r="I42" s="12">
        <v>0</v>
      </c>
    </row>
    <row r="43" spans="2:9" ht="15" customHeight="1" x14ac:dyDescent="0.2">
      <c r="B43" t="s">
        <v>126</v>
      </c>
      <c r="C43" s="12">
        <v>34</v>
      </c>
      <c r="D43" s="8">
        <v>1.55</v>
      </c>
      <c r="E43" s="12">
        <v>5</v>
      </c>
      <c r="F43" s="8">
        <v>0.56999999999999995</v>
      </c>
      <c r="G43" s="12">
        <v>29</v>
      </c>
      <c r="H43" s="8">
        <v>2.2400000000000002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164</v>
      </c>
      <c r="C47" s="12">
        <v>141</v>
      </c>
      <c r="D47" s="8">
        <v>6.41</v>
      </c>
      <c r="E47" s="12">
        <v>88</v>
      </c>
      <c r="F47" s="8">
        <v>10.06</v>
      </c>
      <c r="G47" s="12">
        <v>53</v>
      </c>
      <c r="H47" s="8">
        <v>4.09</v>
      </c>
      <c r="I47" s="12">
        <v>0</v>
      </c>
    </row>
    <row r="48" spans="2:9" ht="15" customHeight="1" x14ac:dyDescent="0.2">
      <c r="B48" t="s">
        <v>170</v>
      </c>
      <c r="C48" s="12">
        <v>91</v>
      </c>
      <c r="D48" s="8">
        <v>4.1399999999999997</v>
      </c>
      <c r="E48" s="12">
        <v>78</v>
      </c>
      <c r="F48" s="8">
        <v>8.91</v>
      </c>
      <c r="G48" s="12">
        <v>13</v>
      </c>
      <c r="H48" s="8">
        <v>1</v>
      </c>
      <c r="I48" s="12">
        <v>0</v>
      </c>
    </row>
    <row r="49" spans="2:9" ht="15" customHeight="1" x14ac:dyDescent="0.2">
      <c r="B49" t="s">
        <v>159</v>
      </c>
      <c r="C49" s="12">
        <v>71</v>
      </c>
      <c r="D49" s="8">
        <v>3.23</v>
      </c>
      <c r="E49" s="12">
        <v>41</v>
      </c>
      <c r="F49" s="8">
        <v>4.6900000000000004</v>
      </c>
      <c r="G49" s="12">
        <v>30</v>
      </c>
      <c r="H49" s="8">
        <v>2.31</v>
      </c>
      <c r="I49" s="12">
        <v>0</v>
      </c>
    </row>
    <row r="50" spans="2:9" ht="15" customHeight="1" x14ac:dyDescent="0.2">
      <c r="B50" t="s">
        <v>184</v>
      </c>
      <c r="C50" s="12">
        <v>53</v>
      </c>
      <c r="D50" s="8">
        <v>2.41</v>
      </c>
      <c r="E50" s="12">
        <v>3</v>
      </c>
      <c r="F50" s="8">
        <v>0.34</v>
      </c>
      <c r="G50" s="12">
        <v>50</v>
      </c>
      <c r="H50" s="8">
        <v>3.86</v>
      </c>
      <c r="I50" s="12">
        <v>0</v>
      </c>
    </row>
    <row r="51" spans="2:9" ht="15" customHeight="1" x14ac:dyDescent="0.2">
      <c r="B51" t="s">
        <v>173</v>
      </c>
      <c r="C51" s="12">
        <v>51</v>
      </c>
      <c r="D51" s="8">
        <v>2.3199999999999998</v>
      </c>
      <c r="E51" s="12">
        <v>34</v>
      </c>
      <c r="F51" s="8">
        <v>3.89</v>
      </c>
      <c r="G51" s="12">
        <v>17</v>
      </c>
      <c r="H51" s="8">
        <v>1.31</v>
      </c>
      <c r="I51" s="12">
        <v>0</v>
      </c>
    </row>
    <row r="52" spans="2:9" ht="15" customHeight="1" x14ac:dyDescent="0.2">
      <c r="B52" t="s">
        <v>172</v>
      </c>
      <c r="C52" s="12">
        <v>47</v>
      </c>
      <c r="D52" s="8">
        <v>2.14</v>
      </c>
      <c r="E52" s="12">
        <v>42</v>
      </c>
      <c r="F52" s="8">
        <v>4.8</v>
      </c>
      <c r="G52" s="12">
        <v>5</v>
      </c>
      <c r="H52" s="8">
        <v>0.39</v>
      </c>
      <c r="I52" s="12">
        <v>0</v>
      </c>
    </row>
    <row r="53" spans="2:9" ht="15" customHeight="1" x14ac:dyDescent="0.2">
      <c r="B53" t="s">
        <v>155</v>
      </c>
      <c r="C53" s="12">
        <v>44</v>
      </c>
      <c r="D53" s="8">
        <v>2</v>
      </c>
      <c r="E53" s="12">
        <v>5</v>
      </c>
      <c r="F53" s="8">
        <v>0.56999999999999995</v>
      </c>
      <c r="G53" s="12">
        <v>39</v>
      </c>
      <c r="H53" s="8">
        <v>3.01</v>
      </c>
      <c r="I53" s="12">
        <v>0</v>
      </c>
    </row>
    <row r="54" spans="2:9" ht="15" customHeight="1" x14ac:dyDescent="0.2">
      <c r="B54" t="s">
        <v>169</v>
      </c>
      <c r="C54" s="12">
        <v>44</v>
      </c>
      <c r="D54" s="8">
        <v>2</v>
      </c>
      <c r="E54" s="12">
        <v>40</v>
      </c>
      <c r="F54" s="8">
        <v>4.57</v>
      </c>
      <c r="G54" s="12">
        <v>4</v>
      </c>
      <c r="H54" s="8">
        <v>0.31</v>
      </c>
      <c r="I54" s="12">
        <v>0</v>
      </c>
    </row>
    <row r="55" spans="2:9" ht="15" customHeight="1" x14ac:dyDescent="0.2">
      <c r="B55" t="s">
        <v>154</v>
      </c>
      <c r="C55" s="12">
        <v>43</v>
      </c>
      <c r="D55" s="8">
        <v>1.95</v>
      </c>
      <c r="E55" s="12">
        <v>5</v>
      </c>
      <c r="F55" s="8">
        <v>0.56999999999999995</v>
      </c>
      <c r="G55" s="12">
        <v>38</v>
      </c>
      <c r="H55" s="8">
        <v>2.93</v>
      </c>
      <c r="I55" s="12">
        <v>0</v>
      </c>
    </row>
    <row r="56" spans="2:9" ht="15" customHeight="1" x14ac:dyDescent="0.2">
      <c r="B56" t="s">
        <v>163</v>
      </c>
      <c r="C56" s="12">
        <v>43</v>
      </c>
      <c r="D56" s="8">
        <v>1.95</v>
      </c>
      <c r="E56" s="12">
        <v>14</v>
      </c>
      <c r="F56" s="8">
        <v>1.6</v>
      </c>
      <c r="G56" s="12">
        <v>29</v>
      </c>
      <c r="H56" s="8">
        <v>2.2400000000000002</v>
      </c>
      <c r="I56" s="12">
        <v>0</v>
      </c>
    </row>
    <row r="57" spans="2:9" ht="15" customHeight="1" x14ac:dyDescent="0.2">
      <c r="B57" t="s">
        <v>180</v>
      </c>
      <c r="C57" s="12">
        <v>41</v>
      </c>
      <c r="D57" s="8">
        <v>1.86</v>
      </c>
      <c r="E57" s="12">
        <v>10</v>
      </c>
      <c r="F57" s="8">
        <v>1.1399999999999999</v>
      </c>
      <c r="G57" s="12">
        <v>31</v>
      </c>
      <c r="H57" s="8">
        <v>2.39</v>
      </c>
      <c r="I57" s="12">
        <v>0</v>
      </c>
    </row>
    <row r="58" spans="2:9" ht="15" customHeight="1" x14ac:dyDescent="0.2">
      <c r="B58" t="s">
        <v>171</v>
      </c>
      <c r="C58" s="12">
        <v>41</v>
      </c>
      <c r="D58" s="8">
        <v>1.86</v>
      </c>
      <c r="E58" s="12">
        <v>29</v>
      </c>
      <c r="F58" s="8">
        <v>3.31</v>
      </c>
      <c r="G58" s="12">
        <v>12</v>
      </c>
      <c r="H58" s="8">
        <v>0.93</v>
      </c>
      <c r="I58" s="12">
        <v>0</v>
      </c>
    </row>
    <row r="59" spans="2:9" ht="15" customHeight="1" x14ac:dyDescent="0.2">
      <c r="B59" t="s">
        <v>156</v>
      </c>
      <c r="C59" s="12">
        <v>37</v>
      </c>
      <c r="D59" s="8">
        <v>1.68</v>
      </c>
      <c r="E59" s="12">
        <v>5</v>
      </c>
      <c r="F59" s="8">
        <v>0.56999999999999995</v>
      </c>
      <c r="G59" s="12">
        <v>32</v>
      </c>
      <c r="H59" s="8">
        <v>2.4700000000000002</v>
      </c>
      <c r="I59" s="12">
        <v>0</v>
      </c>
    </row>
    <row r="60" spans="2:9" ht="15" customHeight="1" x14ac:dyDescent="0.2">
      <c r="B60" t="s">
        <v>167</v>
      </c>
      <c r="C60" s="12">
        <v>37</v>
      </c>
      <c r="D60" s="8">
        <v>1.68</v>
      </c>
      <c r="E60" s="12">
        <v>34</v>
      </c>
      <c r="F60" s="8">
        <v>3.89</v>
      </c>
      <c r="G60" s="12">
        <v>3</v>
      </c>
      <c r="H60" s="8">
        <v>0.23</v>
      </c>
      <c r="I60" s="12">
        <v>0</v>
      </c>
    </row>
    <row r="61" spans="2:9" ht="15" customHeight="1" x14ac:dyDescent="0.2">
      <c r="B61" t="s">
        <v>160</v>
      </c>
      <c r="C61" s="12">
        <v>35</v>
      </c>
      <c r="D61" s="8">
        <v>1.59</v>
      </c>
      <c r="E61" s="12">
        <v>8</v>
      </c>
      <c r="F61" s="8">
        <v>0.91</v>
      </c>
      <c r="G61" s="12">
        <v>27</v>
      </c>
      <c r="H61" s="8">
        <v>2.08</v>
      </c>
      <c r="I61" s="12">
        <v>0</v>
      </c>
    </row>
    <row r="62" spans="2:9" ht="15" customHeight="1" x14ac:dyDescent="0.2">
      <c r="B62" t="s">
        <v>165</v>
      </c>
      <c r="C62" s="12">
        <v>35</v>
      </c>
      <c r="D62" s="8">
        <v>1.59</v>
      </c>
      <c r="E62" s="12">
        <v>12</v>
      </c>
      <c r="F62" s="8">
        <v>1.37</v>
      </c>
      <c r="G62" s="12">
        <v>23</v>
      </c>
      <c r="H62" s="8">
        <v>1.77</v>
      </c>
      <c r="I62" s="12">
        <v>0</v>
      </c>
    </row>
    <row r="63" spans="2:9" ht="15" customHeight="1" x14ac:dyDescent="0.2">
      <c r="B63" t="s">
        <v>182</v>
      </c>
      <c r="C63" s="12">
        <v>34</v>
      </c>
      <c r="D63" s="8">
        <v>1.55</v>
      </c>
      <c r="E63" s="12">
        <v>7</v>
      </c>
      <c r="F63" s="8">
        <v>0.8</v>
      </c>
      <c r="G63" s="12">
        <v>27</v>
      </c>
      <c r="H63" s="8">
        <v>2.08</v>
      </c>
      <c r="I63" s="12">
        <v>0</v>
      </c>
    </row>
    <row r="64" spans="2:9" ht="15" customHeight="1" x14ac:dyDescent="0.2">
      <c r="B64" t="s">
        <v>203</v>
      </c>
      <c r="C64" s="12">
        <v>33</v>
      </c>
      <c r="D64" s="8">
        <v>1.5</v>
      </c>
      <c r="E64" s="12">
        <v>10</v>
      </c>
      <c r="F64" s="8">
        <v>1.1399999999999999</v>
      </c>
      <c r="G64" s="12">
        <v>23</v>
      </c>
      <c r="H64" s="8">
        <v>1.77</v>
      </c>
      <c r="I64" s="12">
        <v>0</v>
      </c>
    </row>
    <row r="65" spans="2:9" ht="15" customHeight="1" x14ac:dyDescent="0.2">
      <c r="B65" t="s">
        <v>166</v>
      </c>
      <c r="C65" s="12">
        <v>31</v>
      </c>
      <c r="D65" s="8">
        <v>1.41</v>
      </c>
      <c r="E65" s="12">
        <v>27</v>
      </c>
      <c r="F65" s="8">
        <v>3.09</v>
      </c>
      <c r="G65" s="12">
        <v>4</v>
      </c>
      <c r="H65" s="8">
        <v>0.31</v>
      </c>
      <c r="I65" s="12">
        <v>0</v>
      </c>
    </row>
    <row r="66" spans="2:9" ht="15" customHeight="1" x14ac:dyDescent="0.2">
      <c r="B66" t="s">
        <v>174</v>
      </c>
      <c r="C66" s="12">
        <v>30</v>
      </c>
      <c r="D66" s="8">
        <v>1.36</v>
      </c>
      <c r="E66" s="12">
        <v>5</v>
      </c>
      <c r="F66" s="8">
        <v>0.56999999999999995</v>
      </c>
      <c r="G66" s="12">
        <v>25</v>
      </c>
      <c r="H66" s="8">
        <v>1.93</v>
      </c>
      <c r="I66" s="12">
        <v>0</v>
      </c>
    </row>
    <row r="67" spans="2:9" ht="15" customHeight="1" x14ac:dyDescent="0.2">
      <c r="B67" t="s">
        <v>162</v>
      </c>
      <c r="C67" s="12">
        <v>30</v>
      </c>
      <c r="D67" s="8">
        <v>1.36</v>
      </c>
      <c r="E67" s="12">
        <v>6</v>
      </c>
      <c r="F67" s="8">
        <v>0.69</v>
      </c>
      <c r="G67" s="12">
        <v>24</v>
      </c>
      <c r="H67" s="8">
        <v>1.85</v>
      </c>
      <c r="I67" s="12">
        <v>0</v>
      </c>
    </row>
    <row r="69" spans="2:9" ht="15" customHeight="1" x14ac:dyDescent="0.2">
      <c r="B69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50ABB-1AAD-4A3B-A6FC-B221EA752184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321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1</v>
      </c>
      <c r="D5" s="8">
        <v>7.0000000000000007E-2</v>
      </c>
      <c r="E5" s="12">
        <v>0</v>
      </c>
      <c r="F5" s="8">
        <v>0</v>
      </c>
      <c r="G5" s="12">
        <v>1</v>
      </c>
      <c r="H5" s="8">
        <v>0.16</v>
      </c>
      <c r="I5" s="12">
        <v>0</v>
      </c>
    </row>
    <row r="6" spans="2:9" ht="15" customHeight="1" x14ac:dyDescent="0.2">
      <c r="B6" t="s">
        <v>76</v>
      </c>
      <c r="C6" s="12">
        <v>195</v>
      </c>
      <c r="D6" s="8">
        <v>14.09</v>
      </c>
      <c r="E6" s="12">
        <v>43</v>
      </c>
      <c r="F6" s="8">
        <v>5.8</v>
      </c>
      <c r="G6" s="12">
        <v>152</v>
      </c>
      <c r="H6" s="8">
        <v>23.79</v>
      </c>
      <c r="I6" s="12">
        <v>0</v>
      </c>
    </row>
    <row r="7" spans="2:9" ht="15" customHeight="1" x14ac:dyDescent="0.2">
      <c r="B7" t="s">
        <v>77</v>
      </c>
      <c r="C7" s="12">
        <v>67</v>
      </c>
      <c r="D7" s="8">
        <v>4.84</v>
      </c>
      <c r="E7" s="12">
        <v>35</v>
      </c>
      <c r="F7" s="8">
        <v>4.72</v>
      </c>
      <c r="G7" s="12">
        <v>32</v>
      </c>
      <c r="H7" s="8">
        <v>5.01</v>
      </c>
      <c r="I7" s="12">
        <v>0</v>
      </c>
    </row>
    <row r="8" spans="2:9" ht="15" customHeight="1" x14ac:dyDescent="0.2">
      <c r="B8" t="s">
        <v>78</v>
      </c>
      <c r="C8" s="12">
        <v>6</v>
      </c>
      <c r="D8" s="8">
        <v>0.43</v>
      </c>
      <c r="E8" s="12">
        <v>0</v>
      </c>
      <c r="F8" s="8">
        <v>0</v>
      </c>
      <c r="G8" s="12">
        <v>6</v>
      </c>
      <c r="H8" s="8">
        <v>0.94</v>
      </c>
      <c r="I8" s="12">
        <v>0</v>
      </c>
    </row>
    <row r="9" spans="2:9" ht="15" customHeight="1" x14ac:dyDescent="0.2">
      <c r="B9" t="s">
        <v>79</v>
      </c>
      <c r="C9" s="12">
        <v>25</v>
      </c>
      <c r="D9" s="8">
        <v>1.81</v>
      </c>
      <c r="E9" s="12">
        <v>0</v>
      </c>
      <c r="F9" s="8">
        <v>0</v>
      </c>
      <c r="G9" s="12">
        <v>25</v>
      </c>
      <c r="H9" s="8">
        <v>3.91</v>
      </c>
      <c r="I9" s="12">
        <v>0</v>
      </c>
    </row>
    <row r="10" spans="2:9" ht="15" customHeight="1" x14ac:dyDescent="0.2">
      <c r="B10" t="s">
        <v>80</v>
      </c>
      <c r="C10" s="12">
        <v>7</v>
      </c>
      <c r="D10" s="8">
        <v>0.51</v>
      </c>
      <c r="E10" s="12">
        <v>1</v>
      </c>
      <c r="F10" s="8">
        <v>0.13</v>
      </c>
      <c r="G10" s="12">
        <v>6</v>
      </c>
      <c r="H10" s="8">
        <v>0.94</v>
      </c>
      <c r="I10" s="12">
        <v>0</v>
      </c>
    </row>
    <row r="11" spans="2:9" ht="15" customHeight="1" x14ac:dyDescent="0.2">
      <c r="B11" t="s">
        <v>81</v>
      </c>
      <c r="C11" s="12">
        <v>307</v>
      </c>
      <c r="D11" s="8">
        <v>22.18</v>
      </c>
      <c r="E11" s="12">
        <v>175</v>
      </c>
      <c r="F11" s="8">
        <v>23.62</v>
      </c>
      <c r="G11" s="12">
        <v>132</v>
      </c>
      <c r="H11" s="8">
        <v>20.66</v>
      </c>
      <c r="I11" s="12">
        <v>0</v>
      </c>
    </row>
    <row r="12" spans="2:9" ht="15" customHeight="1" x14ac:dyDescent="0.2">
      <c r="B12" t="s">
        <v>82</v>
      </c>
      <c r="C12" s="12">
        <v>6</v>
      </c>
      <c r="D12" s="8">
        <v>0.43</v>
      </c>
      <c r="E12" s="12">
        <v>2</v>
      </c>
      <c r="F12" s="8">
        <v>0.27</v>
      </c>
      <c r="G12" s="12">
        <v>4</v>
      </c>
      <c r="H12" s="8">
        <v>0.63</v>
      </c>
      <c r="I12" s="12">
        <v>0</v>
      </c>
    </row>
    <row r="13" spans="2:9" ht="15" customHeight="1" x14ac:dyDescent="0.2">
      <c r="B13" t="s">
        <v>83</v>
      </c>
      <c r="C13" s="12">
        <v>115</v>
      </c>
      <c r="D13" s="8">
        <v>8.31</v>
      </c>
      <c r="E13" s="12">
        <v>24</v>
      </c>
      <c r="F13" s="8">
        <v>3.24</v>
      </c>
      <c r="G13" s="12">
        <v>91</v>
      </c>
      <c r="H13" s="8">
        <v>14.24</v>
      </c>
      <c r="I13" s="12">
        <v>0</v>
      </c>
    </row>
    <row r="14" spans="2:9" ht="15" customHeight="1" x14ac:dyDescent="0.2">
      <c r="B14" t="s">
        <v>84</v>
      </c>
      <c r="C14" s="12">
        <v>75</v>
      </c>
      <c r="D14" s="8">
        <v>5.42</v>
      </c>
      <c r="E14" s="12">
        <v>39</v>
      </c>
      <c r="F14" s="8">
        <v>5.26</v>
      </c>
      <c r="G14" s="12">
        <v>35</v>
      </c>
      <c r="H14" s="8">
        <v>5.48</v>
      </c>
      <c r="I14" s="12">
        <v>1</v>
      </c>
    </row>
    <row r="15" spans="2:9" ht="15" customHeight="1" x14ac:dyDescent="0.2">
      <c r="B15" t="s">
        <v>85</v>
      </c>
      <c r="C15" s="12">
        <v>170</v>
      </c>
      <c r="D15" s="8">
        <v>12.28</v>
      </c>
      <c r="E15" s="12">
        <v>142</v>
      </c>
      <c r="F15" s="8">
        <v>19.16</v>
      </c>
      <c r="G15" s="12">
        <v>28</v>
      </c>
      <c r="H15" s="8">
        <v>4.38</v>
      </c>
      <c r="I15" s="12">
        <v>0</v>
      </c>
    </row>
    <row r="16" spans="2:9" ht="15" customHeight="1" x14ac:dyDescent="0.2">
      <c r="B16" t="s">
        <v>86</v>
      </c>
      <c r="C16" s="12">
        <v>201</v>
      </c>
      <c r="D16" s="8">
        <v>14.52</v>
      </c>
      <c r="E16" s="12">
        <v>159</v>
      </c>
      <c r="F16" s="8">
        <v>21.46</v>
      </c>
      <c r="G16" s="12">
        <v>42</v>
      </c>
      <c r="H16" s="8">
        <v>6.57</v>
      </c>
      <c r="I16" s="12">
        <v>0</v>
      </c>
    </row>
    <row r="17" spans="2:9" ht="15" customHeight="1" x14ac:dyDescent="0.2">
      <c r="B17" t="s">
        <v>87</v>
      </c>
      <c r="C17" s="12">
        <v>52</v>
      </c>
      <c r="D17" s="8">
        <v>3.76</v>
      </c>
      <c r="E17" s="12">
        <v>34</v>
      </c>
      <c r="F17" s="8">
        <v>4.59</v>
      </c>
      <c r="G17" s="12">
        <v>17</v>
      </c>
      <c r="H17" s="8">
        <v>2.66</v>
      </c>
      <c r="I17" s="12">
        <v>1</v>
      </c>
    </row>
    <row r="18" spans="2:9" ht="15" customHeight="1" x14ac:dyDescent="0.2">
      <c r="B18" t="s">
        <v>88</v>
      </c>
      <c r="C18" s="12">
        <v>94</v>
      </c>
      <c r="D18" s="8">
        <v>6.79</v>
      </c>
      <c r="E18" s="12">
        <v>55</v>
      </c>
      <c r="F18" s="8">
        <v>7.42</v>
      </c>
      <c r="G18" s="12">
        <v>39</v>
      </c>
      <c r="H18" s="8">
        <v>6.1</v>
      </c>
      <c r="I18" s="12">
        <v>0</v>
      </c>
    </row>
    <row r="19" spans="2:9" ht="15" customHeight="1" x14ac:dyDescent="0.2">
      <c r="B19" t="s">
        <v>89</v>
      </c>
      <c r="C19" s="12">
        <v>63</v>
      </c>
      <c r="D19" s="8">
        <v>4.55</v>
      </c>
      <c r="E19" s="12">
        <v>32</v>
      </c>
      <c r="F19" s="8">
        <v>4.32</v>
      </c>
      <c r="G19" s="12">
        <v>29</v>
      </c>
      <c r="H19" s="8">
        <v>4.54</v>
      </c>
      <c r="I19" s="12">
        <v>0</v>
      </c>
    </row>
    <row r="20" spans="2:9" ht="15" customHeight="1" x14ac:dyDescent="0.2">
      <c r="B20" s="9" t="s">
        <v>285</v>
      </c>
      <c r="C20" s="12">
        <f>SUM(LTBL_40220[総数／事業所数])</f>
        <v>1384</v>
      </c>
      <c r="E20" s="12">
        <f>SUBTOTAL(109,LTBL_40220[個人／事業所数])</f>
        <v>741</v>
      </c>
      <c r="G20" s="12">
        <f>SUBTOTAL(109,LTBL_40220[法人／事業所数])</f>
        <v>639</v>
      </c>
      <c r="I20" s="12">
        <f>SUBTOTAL(109,LTBL_40220[法人以外の団体／事業所数])</f>
        <v>2</v>
      </c>
    </row>
    <row r="21" spans="2:9" ht="15" customHeight="1" x14ac:dyDescent="0.2">
      <c r="E21" s="11">
        <f>LTBL_40220[[#Totals],[個人／事業所数]]/LTBL_40220[[#Totals],[総数／事業所数]]</f>
        <v>0.53540462427745661</v>
      </c>
      <c r="G21" s="11">
        <f>LTBL_40220[[#Totals],[法人／事業所数]]/LTBL_40220[[#Totals],[総数／事業所数]]</f>
        <v>0.46170520231213874</v>
      </c>
      <c r="I21" s="11">
        <f>LTBL_40220[[#Totals],[法人以外の団体／事業所数]]/LTBL_40220[[#Totals],[総数／事業所数]]</f>
        <v>1.4450867052023121E-3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174</v>
      </c>
      <c r="D24" s="8">
        <v>12.57</v>
      </c>
      <c r="E24" s="12">
        <v>146</v>
      </c>
      <c r="F24" s="8">
        <v>19.7</v>
      </c>
      <c r="G24" s="12">
        <v>28</v>
      </c>
      <c r="H24" s="8">
        <v>4.38</v>
      </c>
      <c r="I24" s="12">
        <v>0</v>
      </c>
    </row>
    <row r="25" spans="2:9" ht="15" customHeight="1" x14ac:dyDescent="0.2">
      <c r="B25" t="s">
        <v>112</v>
      </c>
      <c r="C25" s="12">
        <v>136</v>
      </c>
      <c r="D25" s="8">
        <v>9.83</v>
      </c>
      <c r="E25" s="12">
        <v>122</v>
      </c>
      <c r="F25" s="8">
        <v>16.46</v>
      </c>
      <c r="G25" s="12">
        <v>14</v>
      </c>
      <c r="H25" s="8">
        <v>2.19</v>
      </c>
      <c r="I25" s="12">
        <v>0</v>
      </c>
    </row>
    <row r="26" spans="2:9" ht="15" customHeight="1" x14ac:dyDescent="0.2">
      <c r="B26" t="s">
        <v>98</v>
      </c>
      <c r="C26" s="12">
        <v>122</v>
      </c>
      <c r="D26" s="8">
        <v>8.82</v>
      </c>
      <c r="E26" s="12">
        <v>17</v>
      </c>
      <c r="F26" s="8">
        <v>2.29</v>
      </c>
      <c r="G26" s="12">
        <v>105</v>
      </c>
      <c r="H26" s="8">
        <v>16.43</v>
      </c>
      <c r="I26" s="12">
        <v>0</v>
      </c>
    </row>
    <row r="27" spans="2:9" ht="15" customHeight="1" x14ac:dyDescent="0.2">
      <c r="B27" t="s">
        <v>107</v>
      </c>
      <c r="C27" s="12">
        <v>100</v>
      </c>
      <c r="D27" s="8">
        <v>7.23</v>
      </c>
      <c r="E27" s="12">
        <v>60</v>
      </c>
      <c r="F27" s="8">
        <v>8.1</v>
      </c>
      <c r="G27" s="12">
        <v>40</v>
      </c>
      <c r="H27" s="8">
        <v>6.26</v>
      </c>
      <c r="I27" s="12">
        <v>0</v>
      </c>
    </row>
    <row r="28" spans="2:9" ht="15" customHeight="1" x14ac:dyDescent="0.2">
      <c r="B28" t="s">
        <v>109</v>
      </c>
      <c r="C28" s="12">
        <v>75</v>
      </c>
      <c r="D28" s="8">
        <v>5.42</v>
      </c>
      <c r="E28" s="12">
        <v>16</v>
      </c>
      <c r="F28" s="8">
        <v>2.16</v>
      </c>
      <c r="G28" s="12">
        <v>59</v>
      </c>
      <c r="H28" s="8">
        <v>9.23</v>
      </c>
      <c r="I28" s="12">
        <v>0</v>
      </c>
    </row>
    <row r="29" spans="2:9" ht="15" customHeight="1" x14ac:dyDescent="0.2">
      <c r="B29" t="s">
        <v>105</v>
      </c>
      <c r="C29" s="12">
        <v>73</v>
      </c>
      <c r="D29" s="8">
        <v>5.27</v>
      </c>
      <c r="E29" s="12">
        <v>59</v>
      </c>
      <c r="F29" s="8">
        <v>7.96</v>
      </c>
      <c r="G29" s="12">
        <v>14</v>
      </c>
      <c r="H29" s="8">
        <v>2.19</v>
      </c>
      <c r="I29" s="12">
        <v>0</v>
      </c>
    </row>
    <row r="30" spans="2:9" ht="15" customHeight="1" x14ac:dyDescent="0.2">
      <c r="B30" t="s">
        <v>115</v>
      </c>
      <c r="C30" s="12">
        <v>58</v>
      </c>
      <c r="D30" s="8">
        <v>4.1900000000000004</v>
      </c>
      <c r="E30" s="12">
        <v>54</v>
      </c>
      <c r="F30" s="8">
        <v>7.29</v>
      </c>
      <c r="G30" s="12">
        <v>4</v>
      </c>
      <c r="H30" s="8">
        <v>0.63</v>
      </c>
      <c r="I30" s="12">
        <v>0</v>
      </c>
    </row>
    <row r="31" spans="2:9" ht="15" customHeight="1" x14ac:dyDescent="0.2">
      <c r="B31" t="s">
        <v>114</v>
      </c>
      <c r="C31" s="12">
        <v>52</v>
      </c>
      <c r="D31" s="8">
        <v>3.76</v>
      </c>
      <c r="E31" s="12">
        <v>34</v>
      </c>
      <c r="F31" s="8">
        <v>4.59</v>
      </c>
      <c r="G31" s="12">
        <v>17</v>
      </c>
      <c r="H31" s="8">
        <v>2.66</v>
      </c>
      <c r="I31" s="12">
        <v>1</v>
      </c>
    </row>
    <row r="32" spans="2:9" ht="15" customHeight="1" x14ac:dyDescent="0.2">
      <c r="B32" t="s">
        <v>110</v>
      </c>
      <c r="C32" s="12">
        <v>43</v>
      </c>
      <c r="D32" s="8">
        <v>3.11</v>
      </c>
      <c r="E32" s="12">
        <v>24</v>
      </c>
      <c r="F32" s="8">
        <v>3.24</v>
      </c>
      <c r="G32" s="12">
        <v>19</v>
      </c>
      <c r="H32" s="8">
        <v>2.97</v>
      </c>
      <c r="I32" s="12">
        <v>0</v>
      </c>
    </row>
    <row r="33" spans="2:9" ht="15" customHeight="1" x14ac:dyDescent="0.2">
      <c r="B33" t="s">
        <v>99</v>
      </c>
      <c r="C33" s="12">
        <v>40</v>
      </c>
      <c r="D33" s="8">
        <v>2.89</v>
      </c>
      <c r="E33" s="12">
        <v>18</v>
      </c>
      <c r="F33" s="8">
        <v>2.4300000000000002</v>
      </c>
      <c r="G33" s="12">
        <v>22</v>
      </c>
      <c r="H33" s="8">
        <v>3.44</v>
      </c>
      <c r="I33" s="12">
        <v>0</v>
      </c>
    </row>
    <row r="34" spans="2:9" ht="15" customHeight="1" x14ac:dyDescent="0.2">
      <c r="B34" t="s">
        <v>116</v>
      </c>
      <c r="C34" s="12">
        <v>36</v>
      </c>
      <c r="D34" s="8">
        <v>2.6</v>
      </c>
      <c r="E34" s="12">
        <v>1</v>
      </c>
      <c r="F34" s="8">
        <v>0.13</v>
      </c>
      <c r="G34" s="12">
        <v>35</v>
      </c>
      <c r="H34" s="8">
        <v>5.48</v>
      </c>
      <c r="I34" s="12">
        <v>0</v>
      </c>
    </row>
    <row r="35" spans="2:9" ht="15" customHeight="1" x14ac:dyDescent="0.2">
      <c r="B35" t="s">
        <v>108</v>
      </c>
      <c r="C35" s="12">
        <v>34</v>
      </c>
      <c r="D35" s="8">
        <v>2.46</v>
      </c>
      <c r="E35" s="12">
        <v>8</v>
      </c>
      <c r="F35" s="8">
        <v>1.08</v>
      </c>
      <c r="G35" s="12">
        <v>26</v>
      </c>
      <c r="H35" s="8">
        <v>4.07</v>
      </c>
      <c r="I35" s="12">
        <v>0</v>
      </c>
    </row>
    <row r="36" spans="2:9" ht="15" customHeight="1" x14ac:dyDescent="0.2">
      <c r="B36" t="s">
        <v>100</v>
      </c>
      <c r="C36" s="12">
        <v>33</v>
      </c>
      <c r="D36" s="8">
        <v>2.38</v>
      </c>
      <c r="E36" s="12">
        <v>8</v>
      </c>
      <c r="F36" s="8">
        <v>1.08</v>
      </c>
      <c r="G36" s="12">
        <v>25</v>
      </c>
      <c r="H36" s="8">
        <v>3.91</v>
      </c>
      <c r="I36" s="12">
        <v>0</v>
      </c>
    </row>
    <row r="37" spans="2:9" ht="15" customHeight="1" x14ac:dyDescent="0.2">
      <c r="B37" t="s">
        <v>123</v>
      </c>
      <c r="C37" s="12">
        <v>31</v>
      </c>
      <c r="D37" s="8">
        <v>2.2400000000000002</v>
      </c>
      <c r="E37" s="12">
        <v>25</v>
      </c>
      <c r="F37" s="8">
        <v>3.37</v>
      </c>
      <c r="G37" s="12">
        <v>6</v>
      </c>
      <c r="H37" s="8">
        <v>0.94</v>
      </c>
      <c r="I37" s="12">
        <v>0</v>
      </c>
    </row>
    <row r="38" spans="2:9" ht="15" customHeight="1" x14ac:dyDescent="0.2">
      <c r="B38" t="s">
        <v>106</v>
      </c>
      <c r="C38" s="12">
        <v>28</v>
      </c>
      <c r="D38" s="8">
        <v>2.02</v>
      </c>
      <c r="E38" s="12">
        <v>22</v>
      </c>
      <c r="F38" s="8">
        <v>2.97</v>
      </c>
      <c r="G38" s="12">
        <v>6</v>
      </c>
      <c r="H38" s="8">
        <v>0.94</v>
      </c>
      <c r="I38" s="12">
        <v>0</v>
      </c>
    </row>
    <row r="39" spans="2:9" ht="15" customHeight="1" x14ac:dyDescent="0.2">
      <c r="B39" t="s">
        <v>104</v>
      </c>
      <c r="C39" s="12">
        <v>26</v>
      </c>
      <c r="D39" s="8">
        <v>1.88</v>
      </c>
      <c r="E39" s="12">
        <v>16</v>
      </c>
      <c r="F39" s="8">
        <v>2.16</v>
      </c>
      <c r="G39" s="12">
        <v>10</v>
      </c>
      <c r="H39" s="8">
        <v>1.56</v>
      </c>
      <c r="I39" s="12">
        <v>0</v>
      </c>
    </row>
    <row r="40" spans="2:9" ht="15" customHeight="1" x14ac:dyDescent="0.2">
      <c r="B40" t="s">
        <v>111</v>
      </c>
      <c r="C40" s="12">
        <v>26</v>
      </c>
      <c r="D40" s="8">
        <v>1.88</v>
      </c>
      <c r="E40" s="12">
        <v>15</v>
      </c>
      <c r="F40" s="8">
        <v>2.02</v>
      </c>
      <c r="G40" s="12">
        <v>10</v>
      </c>
      <c r="H40" s="8">
        <v>1.56</v>
      </c>
      <c r="I40" s="12">
        <v>1</v>
      </c>
    </row>
    <row r="41" spans="2:9" ht="15" customHeight="1" x14ac:dyDescent="0.2">
      <c r="B41" t="s">
        <v>121</v>
      </c>
      <c r="C41" s="12">
        <v>22</v>
      </c>
      <c r="D41" s="8">
        <v>1.59</v>
      </c>
      <c r="E41" s="12">
        <v>11</v>
      </c>
      <c r="F41" s="8">
        <v>1.48</v>
      </c>
      <c r="G41" s="12">
        <v>11</v>
      </c>
      <c r="H41" s="8">
        <v>1.72</v>
      </c>
      <c r="I41" s="12">
        <v>0</v>
      </c>
    </row>
    <row r="42" spans="2:9" ht="15" customHeight="1" x14ac:dyDescent="0.2">
      <c r="B42" t="s">
        <v>103</v>
      </c>
      <c r="C42" s="12">
        <v>19</v>
      </c>
      <c r="D42" s="8">
        <v>1.37</v>
      </c>
      <c r="E42" s="12">
        <v>1</v>
      </c>
      <c r="F42" s="8">
        <v>0.13</v>
      </c>
      <c r="G42" s="12">
        <v>18</v>
      </c>
      <c r="H42" s="8">
        <v>2.82</v>
      </c>
      <c r="I42" s="12">
        <v>0</v>
      </c>
    </row>
    <row r="43" spans="2:9" ht="15" customHeight="1" x14ac:dyDescent="0.2">
      <c r="B43" t="s">
        <v>117</v>
      </c>
      <c r="C43" s="12">
        <v>19</v>
      </c>
      <c r="D43" s="8">
        <v>1.37</v>
      </c>
      <c r="E43" s="12">
        <v>2</v>
      </c>
      <c r="F43" s="8">
        <v>0.27</v>
      </c>
      <c r="G43" s="12">
        <v>17</v>
      </c>
      <c r="H43" s="8">
        <v>2.66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170</v>
      </c>
      <c r="C47" s="12">
        <v>99</v>
      </c>
      <c r="D47" s="8">
        <v>7.15</v>
      </c>
      <c r="E47" s="12">
        <v>91</v>
      </c>
      <c r="F47" s="8">
        <v>12.28</v>
      </c>
      <c r="G47" s="12">
        <v>8</v>
      </c>
      <c r="H47" s="8">
        <v>1.25</v>
      </c>
      <c r="I47" s="12">
        <v>0</v>
      </c>
    </row>
    <row r="48" spans="2:9" ht="15" customHeight="1" x14ac:dyDescent="0.2">
      <c r="B48" t="s">
        <v>154</v>
      </c>
      <c r="C48" s="12">
        <v>61</v>
      </c>
      <c r="D48" s="8">
        <v>4.41</v>
      </c>
      <c r="E48" s="12">
        <v>2</v>
      </c>
      <c r="F48" s="8">
        <v>0.27</v>
      </c>
      <c r="G48" s="12">
        <v>59</v>
      </c>
      <c r="H48" s="8">
        <v>9.23</v>
      </c>
      <c r="I48" s="12">
        <v>0</v>
      </c>
    </row>
    <row r="49" spans="2:9" ht="15" customHeight="1" x14ac:dyDescent="0.2">
      <c r="B49" t="s">
        <v>169</v>
      </c>
      <c r="C49" s="12">
        <v>48</v>
      </c>
      <c r="D49" s="8">
        <v>3.47</v>
      </c>
      <c r="E49" s="12">
        <v>44</v>
      </c>
      <c r="F49" s="8">
        <v>5.94</v>
      </c>
      <c r="G49" s="12">
        <v>4</v>
      </c>
      <c r="H49" s="8">
        <v>0.63</v>
      </c>
      <c r="I49" s="12">
        <v>0</v>
      </c>
    </row>
    <row r="50" spans="2:9" ht="15" customHeight="1" x14ac:dyDescent="0.2">
      <c r="B50" t="s">
        <v>164</v>
      </c>
      <c r="C50" s="12">
        <v>46</v>
      </c>
      <c r="D50" s="8">
        <v>3.32</v>
      </c>
      <c r="E50" s="12">
        <v>12</v>
      </c>
      <c r="F50" s="8">
        <v>1.62</v>
      </c>
      <c r="G50" s="12">
        <v>34</v>
      </c>
      <c r="H50" s="8">
        <v>5.32</v>
      </c>
      <c r="I50" s="12">
        <v>0</v>
      </c>
    </row>
    <row r="51" spans="2:9" ht="15" customHeight="1" x14ac:dyDescent="0.2">
      <c r="B51" t="s">
        <v>172</v>
      </c>
      <c r="C51" s="12">
        <v>42</v>
      </c>
      <c r="D51" s="8">
        <v>3.03</v>
      </c>
      <c r="E51" s="12">
        <v>38</v>
      </c>
      <c r="F51" s="8">
        <v>5.13</v>
      </c>
      <c r="G51" s="12">
        <v>4</v>
      </c>
      <c r="H51" s="8">
        <v>0.63</v>
      </c>
      <c r="I51" s="12">
        <v>0</v>
      </c>
    </row>
    <row r="52" spans="2:9" ht="15" customHeight="1" x14ac:dyDescent="0.2">
      <c r="B52" t="s">
        <v>166</v>
      </c>
      <c r="C52" s="12">
        <v>41</v>
      </c>
      <c r="D52" s="8">
        <v>2.96</v>
      </c>
      <c r="E52" s="12">
        <v>35</v>
      </c>
      <c r="F52" s="8">
        <v>4.72</v>
      </c>
      <c r="G52" s="12">
        <v>6</v>
      </c>
      <c r="H52" s="8">
        <v>0.94</v>
      </c>
      <c r="I52" s="12">
        <v>0</v>
      </c>
    </row>
    <row r="53" spans="2:9" ht="15" customHeight="1" x14ac:dyDescent="0.2">
      <c r="B53" t="s">
        <v>173</v>
      </c>
      <c r="C53" s="12">
        <v>31</v>
      </c>
      <c r="D53" s="8">
        <v>2.2400000000000002</v>
      </c>
      <c r="E53" s="12">
        <v>25</v>
      </c>
      <c r="F53" s="8">
        <v>3.37</v>
      </c>
      <c r="G53" s="12">
        <v>6</v>
      </c>
      <c r="H53" s="8">
        <v>0.94</v>
      </c>
      <c r="I53" s="12">
        <v>0</v>
      </c>
    </row>
    <row r="54" spans="2:9" ht="15" customHeight="1" x14ac:dyDescent="0.2">
      <c r="B54" t="s">
        <v>171</v>
      </c>
      <c r="C54" s="12">
        <v>29</v>
      </c>
      <c r="D54" s="8">
        <v>2.1</v>
      </c>
      <c r="E54" s="12">
        <v>23</v>
      </c>
      <c r="F54" s="8">
        <v>3.1</v>
      </c>
      <c r="G54" s="12">
        <v>6</v>
      </c>
      <c r="H54" s="8">
        <v>0.94</v>
      </c>
      <c r="I54" s="12">
        <v>0</v>
      </c>
    </row>
    <row r="55" spans="2:9" ht="15" customHeight="1" x14ac:dyDescent="0.2">
      <c r="B55" t="s">
        <v>167</v>
      </c>
      <c r="C55" s="12">
        <v>27</v>
      </c>
      <c r="D55" s="8">
        <v>1.95</v>
      </c>
      <c r="E55" s="12">
        <v>24</v>
      </c>
      <c r="F55" s="8">
        <v>3.24</v>
      </c>
      <c r="G55" s="12">
        <v>3</v>
      </c>
      <c r="H55" s="8">
        <v>0.47</v>
      </c>
      <c r="I55" s="12">
        <v>0</v>
      </c>
    </row>
    <row r="56" spans="2:9" ht="15" customHeight="1" x14ac:dyDescent="0.2">
      <c r="B56" t="s">
        <v>158</v>
      </c>
      <c r="C56" s="12">
        <v>26</v>
      </c>
      <c r="D56" s="8">
        <v>1.88</v>
      </c>
      <c r="E56" s="12">
        <v>18</v>
      </c>
      <c r="F56" s="8">
        <v>2.4300000000000002</v>
      </c>
      <c r="G56" s="12">
        <v>8</v>
      </c>
      <c r="H56" s="8">
        <v>1.25</v>
      </c>
      <c r="I56" s="12">
        <v>0</v>
      </c>
    </row>
    <row r="57" spans="2:9" ht="15" customHeight="1" x14ac:dyDescent="0.2">
      <c r="B57" t="s">
        <v>162</v>
      </c>
      <c r="C57" s="12">
        <v>26</v>
      </c>
      <c r="D57" s="8">
        <v>1.88</v>
      </c>
      <c r="E57" s="12">
        <v>7</v>
      </c>
      <c r="F57" s="8">
        <v>0.94</v>
      </c>
      <c r="G57" s="12">
        <v>19</v>
      </c>
      <c r="H57" s="8">
        <v>2.97</v>
      </c>
      <c r="I57" s="12">
        <v>0</v>
      </c>
    </row>
    <row r="58" spans="2:9" ht="15" customHeight="1" x14ac:dyDescent="0.2">
      <c r="B58" t="s">
        <v>179</v>
      </c>
      <c r="C58" s="12">
        <v>26</v>
      </c>
      <c r="D58" s="8">
        <v>1.88</v>
      </c>
      <c r="E58" s="12">
        <v>26</v>
      </c>
      <c r="F58" s="8">
        <v>3.51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161</v>
      </c>
      <c r="C59" s="12">
        <v>24</v>
      </c>
      <c r="D59" s="8">
        <v>1.73</v>
      </c>
      <c r="E59" s="12">
        <v>19</v>
      </c>
      <c r="F59" s="8">
        <v>2.56</v>
      </c>
      <c r="G59" s="12">
        <v>5</v>
      </c>
      <c r="H59" s="8">
        <v>0.78</v>
      </c>
      <c r="I59" s="12">
        <v>0</v>
      </c>
    </row>
    <row r="60" spans="2:9" ht="15" customHeight="1" x14ac:dyDescent="0.2">
      <c r="B60" t="s">
        <v>155</v>
      </c>
      <c r="C60" s="12">
        <v>23</v>
      </c>
      <c r="D60" s="8">
        <v>1.66</v>
      </c>
      <c r="E60" s="12">
        <v>4</v>
      </c>
      <c r="F60" s="8">
        <v>0.54</v>
      </c>
      <c r="G60" s="12">
        <v>19</v>
      </c>
      <c r="H60" s="8">
        <v>2.97</v>
      </c>
      <c r="I60" s="12">
        <v>0</v>
      </c>
    </row>
    <row r="61" spans="2:9" ht="15" customHeight="1" x14ac:dyDescent="0.2">
      <c r="B61" t="s">
        <v>160</v>
      </c>
      <c r="C61" s="12">
        <v>23</v>
      </c>
      <c r="D61" s="8">
        <v>1.66</v>
      </c>
      <c r="E61" s="12">
        <v>9</v>
      </c>
      <c r="F61" s="8">
        <v>1.21</v>
      </c>
      <c r="G61" s="12">
        <v>14</v>
      </c>
      <c r="H61" s="8">
        <v>2.19</v>
      </c>
      <c r="I61" s="12">
        <v>0</v>
      </c>
    </row>
    <row r="62" spans="2:9" ht="15" customHeight="1" x14ac:dyDescent="0.2">
      <c r="B62" t="s">
        <v>186</v>
      </c>
      <c r="C62" s="12">
        <v>22</v>
      </c>
      <c r="D62" s="8">
        <v>1.59</v>
      </c>
      <c r="E62" s="12">
        <v>9</v>
      </c>
      <c r="F62" s="8">
        <v>1.21</v>
      </c>
      <c r="G62" s="12">
        <v>13</v>
      </c>
      <c r="H62" s="8">
        <v>2.0299999999999998</v>
      </c>
      <c r="I62" s="12">
        <v>0</v>
      </c>
    </row>
    <row r="63" spans="2:9" ht="15" customHeight="1" x14ac:dyDescent="0.2">
      <c r="B63" t="s">
        <v>220</v>
      </c>
      <c r="C63" s="12">
        <v>19</v>
      </c>
      <c r="D63" s="8">
        <v>1.37</v>
      </c>
      <c r="E63" s="12">
        <v>11</v>
      </c>
      <c r="F63" s="8">
        <v>1.48</v>
      </c>
      <c r="G63" s="12">
        <v>8</v>
      </c>
      <c r="H63" s="8">
        <v>1.25</v>
      </c>
      <c r="I63" s="12">
        <v>0</v>
      </c>
    </row>
    <row r="64" spans="2:9" ht="15" customHeight="1" x14ac:dyDescent="0.2">
      <c r="B64" t="s">
        <v>163</v>
      </c>
      <c r="C64" s="12">
        <v>18</v>
      </c>
      <c r="D64" s="8">
        <v>1.3</v>
      </c>
      <c r="E64" s="12">
        <v>2</v>
      </c>
      <c r="F64" s="8">
        <v>0.27</v>
      </c>
      <c r="G64" s="12">
        <v>16</v>
      </c>
      <c r="H64" s="8">
        <v>2.5</v>
      </c>
      <c r="I64" s="12">
        <v>0</v>
      </c>
    </row>
    <row r="65" spans="2:9" ht="15" customHeight="1" x14ac:dyDescent="0.2">
      <c r="B65" t="s">
        <v>168</v>
      </c>
      <c r="C65" s="12">
        <v>18</v>
      </c>
      <c r="D65" s="8">
        <v>1.3</v>
      </c>
      <c r="E65" s="12">
        <v>18</v>
      </c>
      <c r="F65" s="8">
        <v>2.4300000000000002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157</v>
      </c>
      <c r="C66" s="12">
        <v>17</v>
      </c>
      <c r="D66" s="8">
        <v>1.23</v>
      </c>
      <c r="E66" s="12">
        <v>12</v>
      </c>
      <c r="F66" s="8">
        <v>1.62</v>
      </c>
      <c r="G66" s="12">
        <v>5</v>
      </c>
      <c r="H66" s="8">
        <v>0.78</v>
      </c>
      <c r="I66" s="12">
        <v>0</v>
      </c>
    </row>
    <row r="67" spans="2:9" ht="15" customHeight="1" x14ac:dyDescent="0.2">
      <c r="B67" t="s">
        <v>182</v>
      </c>
      <c r="C67" s="12">
        <v>17</v>
      </c>
      <c r="D67" s="8">
        <v>1.23</v>
      </c>
      <c r="E67" s="12">
        <v>5</v>
      </c>
      <c r="F67" s="8">
        <v>0.67</v>
      </c>
      <c r="G67" s="12">
        <v>12</v>
      </c>
      <c r="H67" s="8">
        <v>1.88</v>
      </c>
      <c r="I67" s="12">
        <v>0</v>
      </c>
    </row>
    <row r="69" spans="2:9" ht="15" customHeight="1" x14ac:dyDescent="0.2">
      <c r="B69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093E4-78D2-487C-A9D9-6EF0C9947882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322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184</v>
      </c>
      <c r="D6" s="8">
        <v>16.559999999999999</v>
      </c>
      <c r="E6" s="12">
        <v>33</v>
      </c>
      <c r="F6" s="8">
        <v>7.57</v>
      </c>
      <c r="G6" s="12">
        <v>151</v>
      </c>
      <c r="H6" s="8">
        <v>22.6</v>
      </c>
      <c r="I6" s="12">
        <v>0</v>
      </c>
    </row>
    <row r="7" spans="2:9" ht="15" customHeight="1" x14ac:dyDescent="0.2">
      <c r="B7" t="s">
        <v>77</v>
      </c>
      <c r="C7" s="12">
        <v>55</v>
      </c>
      <c r="D7" s="8">
        <v>4.95</v>
      </c>
      <c r="E7" s="12">
        <v>14</v>
      </c>
      <c r="F7" s="8">
        <v>3.21</v>
      </c>
      <c r="G7" s="12">
        <v>41</v>
      </c>
      <c r="H7" s="8">
        <v>6.14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0.09</v>
      </c>
      <c r="E8" s="12">
        <v>0</v>
      </c>
      <c r="F8" s="8">
        <v>0</v>
      </c>
      <c r="G8" s="12">
        <v>1</v>
      </c>
      <c r="H8" s="8">
        <v>0.15</v>
      </c>
      <c r="I8" s="12">
        <v>0</v>
      </c>
    </row>
    <row r="9" spans="2:9" ht="15" customHeight="1" x14ac:dyDescent="0.2">
      <c r="B9" t="s">
        <v>79</v>
      </c>
      <c r="C9" s="12">
        <v>21</v>
      </c>
      <c r="D9" s="8">
        <v>1.89</v>
      </c>
      <c r="E9" s="12">
        <v>2</v>
      </c>
      <c r="F9" s="8">
        <v>0.46</v>
      </c>
      <c r="G9" s="12">
        <v>19</v>
      </c>
      <c r="H9" s="8">
        <v>2.84</v>
      </c>
      <c r="I9" s="12">
        <v>0</v>
      </c>
    </row>
    <row r="10" spans="2:9" ht="15" customHeight="1" x14ac:dyDescent="0.2">
      <c r="B10" t="s">
        <v>80</v>
      </c>
      <c r="C10" s="12">
        <v>11</v>
      </c>
      <c r="D10" s="8">
        <v>0.99</v>
      </c>
      <c r="E10" s="12">
        <v>7</v>
      </c>
      <c r="F10" s="8">
        <v>1.61</v>
      </c>
      <c r="G10" s="12">
        <v>4</v>
      </c>
      <c r="H10" s="8">
        <v>0.6</v>
      </c>
      <c r="I10" s="12">
        <v>0</v>
      </c>
    </row>
    <row r="11" spans="2:9" ht="15" customHeight="1" x14ac:dyDescent="0.2">
      <c r="B11" t="s">
        <v>81</v>
      </c>
      <c r="C11" s="12">
        <v>303</v>
      </c>
      <c r="D11" s="8">
        <v>27.27</v>
      </c>
      <c r="E11" s="12">
        <v>113</v>
      </c>
      <c r="F11" s="8">
        <v>25.92</v>
      </c>
      <c r="G11" s="12">
        <v>189</v>
      </c>
      <c r="H11" s="8">
        <v>28.29</v>
      </c>
      <c r="I11" s="12">
        <v>1</v>
      </c>
    </row>
    <row r="12" spans="2:9" ht="15" customHeight="1" x14ac:dyDescent="0.2">
      <c r="B12" t="s">
        <v>82</v>
      </c>
      <c r="C12" s="12">
        <v>8</v>
      </c>
      <c r="D12" s="8">
        <v>0.72</v>
      </c>
      <c r="E12" s="12">
        <v>1</v>
      </c>
      <c r="F12" s="8">
        <v>0.23</v>
      </c>
      <c r="G12" s="12">
        <v>7</v>
      </c>
      <c r="H12" s="8">
        <v>1.05</v>
      </c>
      <c r="I12" s="12">
        <v>0</v>
      </c>
    </row>
    <row r="13" spans="2:9" ht="15" customHeight="1" x14ac:dyDescent="0.2">
      <c r="B13" t="s">
        <v>83</v>
      </c>
      <c r="C13" s="12">
        <v>109</v>
      </c>
      <c r="D13" s="8">
        <v>9.81</v>
      </c>
      <c r="E13" s="12">
        <v>27</v>
      </c>
      <c r="F13" s="8">
        <v>6.19</v>
      </c>
      <c r="G13" s="12">
        <v>82</v>
      </c>
      <c r="H13" s="8">
        <v>12.28</v>
      </c>
      <c r="I13" s="12">
        <v>0</v>
      </c>
    </row>
    <row r="14" spans="2:9" ht="15" customHeight="1" x14ac:dyDescent="0.2">
      <c r="B14" t="s">
        <v>84</v>
      </c>
      <c r="C14" s="12">
        <v>67</v>
      </c>
      <c r="D14" s="8">
        <v>6.03</v>
      </c>
      <c r="E14" s="12">
        <v>26</v>
      </c>
      <c r="F14" s="8">
        <v>5.96</v>
      </c>
      <c r="G14" s="12">
        <v>41</v>
      </c>
      <c r="H14" s="8">
        <v>6.14</v>
      </c>
      <c r="I14" s="12">
        <v>0</v>
      </c>
    </row>
    <row r="15" spans="2:9" ht="15" customHeight="1" x14ac:dyDescent="0.2">
      <c r="B15" t="s">
        <v>85</v>
      </c>
      <c r="C15" s="12">
        <v>68</v>
      </c>
      <c r="D15" s="8">
        <v>6.12</v>
      </c>
      <c r="E15" s="12">
        <v>55</v>
      </c>
      <c r="F15" s="8">
        <v>12.61</v>
      </c>
      <c r="G15" s="12">
        <v>13</v>
      </c>
      <c r="H15" s="8">
        <v>1.95</v>
      </c>
      <c r="I15" s="12">
        <v>0</v>
      </c>
    </row>
    <row r="16" spans="2:9" ht="15" customHeight="1" x14ac:dyDescent="0.2">
      <c r="B16" t="s">
        <v>86</v>
      </c>
      <c r="C16" s="12">
        <v>125</v>
      </c>
      <c r="D16" s="8">
        <v>11.25</v>
      </c>
      <c r="E16" s="12">
        <v>83</v>
      </c>
      <c r="F16" s="8">
        <v>19.04</v>
      </c>
      <c r="G16" s="12">
        <v>42</v>
      </c>
      <c r="H16" s="8">
        <v>6.29</v>
      </c>
      <c r="I16" s="12">
        <v>0</v>
      </c>
    </row>
    <row r="17" spans="2:9" ht="15" customHeight="1" x14ac:dyDescent="0.2">
      <c r="B17" t="s">
        <v>87</v>
      </c>
      <c r="C17" s="12">
        <v>39</v>
      </c>
      <c r="D17" s="8">
        <v>3.51</v>
      </c>
      <c r="E17" s="12">
        <v>27</v>
      </c>
      <c r="F17" s="8">
        <v>6.19</v>
      </c>
      <c r="G17" s="12">
        <v>9</v>
      </c>
      <c r="H17" s="8">
        <v>1.35</v>
      </c>
      <c r="I17" s="12">
        <v>3</v>
      </c>
    </row>
    <row r="18" spans="2:9" ht="15" customHeight="1" x14ac:dyDescent="0.2">
      <c r="B18" t="s">
        <v>88</v>
      </c>
      <c r="C18" s="12">
        <v>64</v>
      </c>
      <c r="D18" s="8">
        <v>5.76</v>
      </c>
      <c r="E18" s="12">
        <v>30</v>
      </c>
      <c r="F18" s="8">
        <v>6.88</v>
      </c>
      <c r="G18" s="12">
        <v>33</v>
      </c>
      <c r="H18" s="8">
        <v>4.9400000000000004</v>
      </c>
      <c r="I18" s="12">
        <v>0</v>
      </c>
    </row>
    <row r="19" spans="2:9" ht="15" customHeight="1" x14ac:dyDescent="0.2">
      <c r="B19" t="s">
        <v>89</v>
      </c>
      <c r="C19" s="12">
        <v>56</v>
      </c>
      <c r="D19" s="8">
        <v>5.04</v>
      </c>
      <c r="E19" s="12">
        <v>18</v>
      </c>
      <c r="F19" s="8">
        <v>4.13</v>
      </c>
      <c r="G19" s="12">
        <v>36</v>
      </c>
      <c r="H19" s="8">
        <v>5.39</v>
      </c>
      <c r="I19" s="12">
        <v>1</v>
      </c>
    </row>
    <row r="20" spans="2:9" ht="15" customHeight="1" x14ac:dyDescent="0.2">
      <c r="B20" s="9" t="s">
        <v>285</v>
      </c>
      <c r="C20" s="12">
        <f>SUM(LTBL_40221[総数／事業所数])</f>
        <v>1111</v>
      </c>
      <c r="E20" s="12">
        <f>SUBTOTAL(109,LTBL_40221[個人／事業所数])</f>
        <v>436</v>
      </c>
      <c r="G20" s="12">
        <f>SUBTOTAL(109,LTBL_40221[法人／事業所数])</f>
        <v>668</v>
      </c>
      <c r="I20" s="12">
        <f>SUBTOTAL(109,LTBL_40221[法人以外の団体／事業所数])</f>
        <v>5</v>
      </c>
    </row>
    <row r="21" spans="2:9" ht="15" customHeight="1" x14ac:dyDescent="0.2">
      <c r="E21" s="11">
        <f>LTBL_40221[[#Totals],[個人／事業所数]]/LTBL_40221[[#Totals],[総数／事業所数]]</f>
        <v>0.39243924392439244</v>
      </c>
      <c r="G21" s="11">
        <f>LTBL_40221[[#Totals],[法人／事業所数]]/LTBL_40221[[#Totals],[総数／事業所数]]</f>
        <v>0.60126012601260126</v>
      </c>
      <c r="I21" s="11">
        <f>LTBL_40221[[#Totals],[法人以外の団体／事業所数]]/LTBL_40221[[#Totals],[総数／事業所数]]</f>
        <v>4.5004500450045006E-3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99</v>
      </c>
      <c r="D24" s="8">
        <v>8.91</v>
      </c>
      <c r="E24" s="12">
        <v>74</v>
      </c>
      <c r="F24" s="8">
        <v>16.97</v>
      </c>
      <c r="G24" s="12">
        <v>25</v>
      </c>
      <c r="H24" s="8">
        <v>3.74</v>
      </c>
      <c r="I24" s="12">
        <v>0</v>
      </c>
    </row>
    <row r="25" spans="2:9" ht="15" customHeight="1" x14ac:dyDescent="0.2">
      <c r="B25" t="s">
        <v>109</v>
      </c>
      <c r="C25" s="12">
        <v>87</v>
      </c>
      <c r="D25" s="8">
        <v>7.83</v>
      </c>
      <c r="E25" s="12">
        <v>19</v>
      </c>
      <c r="F25" s="8">
        <v>4.3600000000000003</v>
      </c>
      <c r="G25" s="12">
        <v>68</v>
      </c>
      <c r="H25" s="8">
        <v>10.18</v>
      </c>
      <c r="I25" s="12">
        <v>0</v>
      </c>
    </row>
    <row r="26" spans="2:9" ht="15" customHeight="1" x14ac:dyDescent="0.2">
      <c r="B26" t="s">
        <v>107</v>
      </c>
      <c r="C26" s="12">
        <v>76</v>
      </c>
      <c r="D26" s="8">
        <v>6.84</v>
      </c>
      <c r="E26" s="12">
        <v>31</v>
      </c>
      <c r="F26" s="8">
        <v>7.11</v>
      </c>
      <c r="G26" s="12">
        <v>45</v>
      </c>
      <c r="H26" s="8">
        <v>6.74</v>
      </c>
      <c r="I26" s="12">
        <v>0</v>
      </c>
    </row>
    <row r="27" spans="2:9" ht="15" customHeight="1" x14ac:dyDescent="0.2">
      <c r="B27" t="s">
        <v>98</v>
      </c>
      <c r="C27" s="12">
        <v>74</v>
      </c>
      <c r="D27" s="8">
        <v>6.66</v>
      </c>
      <c r="E27" s="12">
        <v>12</v>
      </c>
      <c r="F27" s="8">
        <v>2.75</v>
      </c>
      <c r="G27" s="12">
        <v>62</v>
      </c>
      <c r="H27" s="8">
        <v>9.2799999999999994</v>
      </c>
      <c r="I27" s="12">
        <v>0</v>
      </c>
    </row>
    <row r="28" spans="2:9" ht="15" customHeight="1" x14ac:dyDescent="0.2">
      <c r="B28" t="s">
        <v>99</v>
      </c>
      <c r="C28" s="12">
        <v>64</v>
      </c>
      <c r="D28" s="8">
        <v>5.76</v>
      </c>
      <c r="E28" s="12">
        <v>13</v>
      </c>
      <c r="F28" s="8">
        <v>2.98</v>
      </c>
      <c r="G28" s="12">
        <v>51</v>
      </c>
      <c r="H28" s="8">
        <v>7.63</v>
      </c>
      <c r="I28" s="12">
        <v>0</v>
      </c>
    </row>
    <row r="29" spans="2:9" ht="15" customHeight="1" x14ac:dyDescent="0.2">
      <c r="B29" t="s">
        <v>105</v>
      </c>
      <c r="C29" s="12">
        <v>60</v>
      </c>
      <c r="D29" s="8">
        <v>5.4</v>
      </c>
      <c r="E29" s="12">
        <v>31</v>
      </c>
      <c r="F29" s="8">
        <v>7.11</v>
      </c>
      <c r="G29" s="12">
        <v>28</v>
      </c>
      <c r="H29" s="8">
        <v>4.1900000000000004</v>
      </c>
      <c r="I29" s="12">
        <v>1</v>
      </c>
    </row>
    <row r="30" spans="2:9" ht="15" customHeight="1" x14ac:dyDescent="0.2">
      <c r="B30" t="s">
        <v>112</v>
      </c>
      <c r="C30" s="12">
        <v>59</v>
      </c>
      <c r="D30" s="8">
        <v>5.31</v>
      </c>
      <c r="E30" s="12">
        <v>49</v>
      </c>
      <c r="F30" s="8">
        <v>11.24</v>
      </c>
      <c r="G30" s="12">
        <v>10</v>
      </c>
      <c r="H30" s="8">
        <v>1.5</v>
      </c>
      <c r="I30" s="12">
        <v>0</v>
      </c>
    </row>
    <row r="31" spans="2:9" ht="15" customHeight="1" x14ac:dyDescent="0.2">
      <c r="B31" t="s">
        <v>106</v>
      </c>
      <c r="C31" s="12">
        <v>48</v>
      </c>
      <c r="D31" s="8">
        <v>4.32</v>
      </c>
      <c r="E31" s="12">
        <v>28</v>
      </c>
      <c r="F31" s="8">
        <v>6.42</v>
      </c>
      <c r="G31" s="12">
        <v>20</v>
      </c>
      <c r="H31" s="8">
        <v>2.99</v>
      </c>
      <c r="I31" s="12">
        <v>0</v>
      </c>
    </row>
    <row r="32" spans="2:9" ht="15" customHeight="1" x14ac:dyDescent="0.2">
      <c r="B32" t="s">
        <v>100</v>
      </c>
      <c r="C32" s="12">
        <v>46</v>
      </c>
      <c r="D32" s="8">
        <v>4.1399999999999997</v>
      </c>
      <c r="E32" s="12">
        <v>8</v>
      </c>
      <c r="F32" s="8">
        <v>1.83</v>
      </c>
      <c r="G32" s="12">
        <v>38</v>
      </c>
      <c r="H32" s="8">
        <v>5.69</v>
      </c>
      <c r="I32" s="12">
        <v>0</v>
      </c>
    </row>
    <row r="33" spans="2:9" ht="15" customHeight="1" x14ac:dyDescent="0.2">
      <c r="B33" t="s">
        <v>114</v>
      </c>
      <c r="C33" s="12">
        <v>39</v>
      </c>
      <c r="D33" s="8">
        <v>3.51</v>
      </c>
      <c r="E33" s="12">
        <v>27</v>
      </c>
      <c r="F33" s="8">
        <v>6.19</v>
      </c>
      <c r="G33" s="12">
        <v>9</v>
      </c>
      <c r="H33" s="8">
        <v>1.35</v>
      </c>
      <c r="I33" s="12">
        <v>3</v>
      </c>
    </row>
    <row r="34" spans="2:9" ht="15" customHeight="1" x14ac:dyDescent="0.2">
      <c r="B34" t="s">
        <v>115</v>
      </c>
      <c r="C34" s="12">
        <v>37</v>
      </c>
      <c r="D34" s="8">
        <v>3.33</v>
      </c>
      <c r="E34" s="12">
        <v>30</v>
      </c>
      <c r="F34" s="8">
        <v>6.88</v>
      </c>
      <c r="G34" s="12">
        <v>7</v>
      </c>
      <c r="H34" s="8">
        <v>1.05</v>
      </c>
      <c r="I34" s="12">
        <v>0</v>
      </c>
    </row>
    <row r="35" spans="2:9" ht="15" customHeight="1" x14ac:dyDescent="0.2">
      <c r="B35" t="s">
        <v>111</v>
      </c>
      <c r="C35" s="12">
        <v>36</v>
      </c>
      <c r="D35" s="8">
        <v>3.24</v>
      </c>
      <c r="E35" s="12">
        <v>11</v>
      </c>
      <c r="F35" s="8">
        <v>2.52</v>
      </c>
      <c r="G35" s="12">
        <v>25</v>
      </c>
      <c r="H35" s="8">
        <v>3.74</v>
      </c>
      <c r="I35" s="12">
        <v>0</v>
      </c>
    </row>
    <row r="36" spans="2:9" ht="15" customHeight="1" x14ac:dyDescent="0.2">
      <c r="B36" t="s">
        <v>110</v>
      </c>
      <c r="C36" s="12">
        <v>28</v>
      </c>
      <c r="D36" s="8">
        <v>2.52</v>
      </c>
      <c r="E36" s="12">
        <v>15</v>
      </c>
      <c r="F36" s="8">
        <v>3.44</v>
      </c>
      <c r="G36" s="12">
        <v>13</v>
      </c>
      <c r="H36" s="8">
        <v>1.95</v>
      </c>
      <c r="I36" s="12">
        <v>0</v>
      </c>
    </row>
    <row r="37" spans="2:9" ht="15" customHeight="1" x14ac:dyDescent="0.2">
      <c r="B37" t="s">
        <v>116</v>
      </c>
      <c r="C37" s="12">
        <v>27</v>
      </c>
      <c r="D37" s="8">
        <v>2.4300000000000002</v>
      </c>
      <c r="E37" s="12">
        <v>0</v>
      </c>
      <c r="F37" s="8">
        <v>0</v>
      </c>
      <c r="G37" s="12">
        <v>26</v>
      </c>
      <c r="H37" s="8">
        <v>3.89</v>
      </c>
      <c r="I37" s="12">
        <v>0</v>
      </c>
    </row>
    <row r="38" spans="2:9" ht="15" customHeight="1" x14ac:dyDescent="0.2">
      <c r="B38" t="s">
        <v>103</v>
      </c>
      <c r="C38" s="12">
        <v>26</v>
      </c>
      <c r="D38" s="8">
        <v>2.34</v>
      </c>
      <c r="E38" s="12">
        <v>1</v>
      </c>
      <c r="F38" s="8">
        <v>0.23</v>
      </c>
      <c r="G38" s="12">
        <v>25</v>
      </c>
      <c r="H38" s="8">
        <v>3.74</v>
      </c>
      <c r="I38" s="12">
        <v>0</v>
      </c>
    </row>
    <row r="39" spans="2:9" ht="15" customHeight="1" x14ac:dyDescent="0.2">
      <c r="B39" t="s">
        <v>104</v>
      </c>
      <c r="C39" s="12">
        <v>26</v>
      </c>
      <c r="D39" s="8">
        <v>2.34</v>
      </c>
      <c r="E39" s="12">
        <v>12</v>
      </c>
      <c r="F39" s="8">
        <v>2.75</v>
      </c>
      <c r="G39" s="12">
        <v>14</v>
      </c>
      <c r="H39" s="8">
        <v>2.1</v>
      </c>
      <c r="I39" s="12">
        <v>0</v>
      </c>
    </row>
    <row r="40" spans="2:9" ht="15" customHeight="1" x14ac:dyDescent="0.2">
      <c r="B40" t="s">
        <v>102</v>
      </c>
      <c r="C40" s="12">
        <v>23</v>
      </c>
      <c r="D40" s="8">
        <v>2.0699999999999998</v>
      </c>
      <c r="E40" s="12">
        <v>4</v>
      </c>
      <c r="F40" s="8">
        <v>0.92</v>
      </c>
      <c r="G40" s="12">
        <v>19</v>
      </c>
      <c r="H40" s="8">
        <v>2.84</v>
      </c>
      <c r="I40" s="12">
        <v>0</v>
      </c>
    </row>
    <row r="41" spans="2:9" ht="15" customHeight="1" x14ac:dyDescent="0.2">
      <c r="B41" t="s">
        <v>117</v>
      </c>
      <c r="C41" s="12">
        <v>22</v>
      </c>
      <c r="D41" s="8">
        <v>1.98</v>
      </c>
      <c r="E41" s="12">
        <v>2</v>
      </c>
      <c r="F41" s="8">
        <v>0.46</v>
      </c>
      <c r="G41" s="12">
        <v>20</v>
      </c>
      <c r="H41" s="8">
        <v>2.99</v>
      </c>
      <c r="I41" s="12">
        <v>0</v>
      </c>
    </row>
    <row r="42" spans="2:9" ht="15" customHeight="1" x14ac:dyDescent="0.2">
      <c r="B42" t="s">
        <v>108</v>
      </c>
      <c r="C42" s="12">
        <v>21</v>
      </c>
      <c r="D42" s="8">
        <v>1.89</v>
      </c>
      <c r="E42" s="12">
        <v>8</v>
      </c>
      <c r="F42" s="8">
        <v>1.83</v>
      </c>
      <c r="G42" s="12">
        <v>13</v>
      </c>
      <c r="H42" s="8">
        <v>1.95</v>
      </c>
      <c r="I42" s="12">
        <v>0</v>
      </c>
    </row>
    <row r="43" spans="2:9" ht="15" customHeight="1" x14ac:dyDescent="0.2">
      <c r="B43" t="s">
        <v>123</v>
      </c>
      <c r="C43" s="12">
        <v>16</v>
      </c>
      <c r="D43" s="8">
        <v>1.44</v>
      </c>
      <c r="E43" s="12">
        <v>12</v>
      </c>
      <c r="F43" s="8">
        <v>2.75</v>
      </c>
      <c r="G43" s="12">
        <v>4</v>
      </c>
      <c r="H43" s="8">
        <v>0.6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170</v>
      </c>
      <c r="C47" s="12">
        <v>47</v>
      </c>
      <c r="D47" s="8">
        <v>4.2300000000000004</v>
      </c>
      <c r="E47" s="12">
        <v>42</v>
      </c>
      <c r="F47" s="8">
        <v>9.6300000000000008</v>
      </c>
      <c r="G47" s="12">
        <v>5</v>
      </c>
      <c r="H47" s="8">
        <v>0.75</v>
      </c>
      <c r="I47" s="12">
        <v>0</v>
      </c>
    </row>
    <row r="48" spans="2:9" ht="15" customHeight="1" x14ac:dyDescent="0.2">
      <c r="B48" t="s">
        <v>164</v>
      </c>
      <c r="C48" s="12">
        <v>43</v>
      </c>
      <c r="D48" s="8">
        <v>3.87</v>
      </c>
      <c r="E48" s="12">
        <v>6</v>
      </c>
      <c r="F48" s="8">
        <v>1.38</v>
      </c>
      <c r="G48" s="12">
        <v>37</v>
      </c>
      <c r="H48" s="8">
        <v>5.54</v>
      </c>
      <c r="I48" s="12">
        <v>0</v>
      </c>
    </row>
    <row r="49" spans="2:9" ht="15" customHeight="1" x14ac:dyDescent="0.2">
      <c r="B49" t="s">
        <v>159</v>
      </c>
      <c r="C49" s="12">
        <v>38</v>
      </c>
      <c r="D49" s="8">
        <v>3.42</v>
      </c>
      <c r="E49" s="12">
        <v>21</v>
      </c>
      <c r="F49" s="8">
        <v>4.82</v>
      </c>
      <c r="G49" s="12">
        <v>17</v>
      </c>
      <c r="H49" s="8">
        <v>2.54</v>
      </c>
      <c r="I49" s="12">
        <v>0</v>
      </c>
    </row>
    <row r="50" spans="2:9" ht="15" customHeight="1" x14ac:dyDescent="0.2">
      <c r="B50" t="s">
        <v>172</v>
      </c>
      <c r="C50" s="12">
        <v>32</v>
      </c>
      <c r="D50" s="8">
        <v>2.88</v>
      </c>
      <c r="E50" s="12">
        <v>26</v>
      </c>
      <c r="F50" s="8">
        <v>5.96</v>
      </c>
      <c r="G50" s="12">
        <v>6</v>
      </c>
      <c r="H50" s="8">
        <v>0.9</v>
      </c>
      <c r="I50" s="12">
        <v>0</v>
      </c>
    </row>
    <row r="51" spans="2:9" ht="15" customHeight="1" x14ac:dyDescent="0.2">
      <c r="B51" t="s">
        <v>158</v>
      </c>
      <c r="C51" s="12">
        <v>30</v>
      </c>
      <c r="D51" s="8">
        <v>2.7</v>
      </c>
      <c r="E51" s="12">
        <v>15</v>
      </c>
      <c r="F51" s="8">
        <v>3.44</v>
      </c>
      <c r="G51" s="12">
        <v>14</v>
      </c>
      <c r="H51" s="8">
        <v>2.1</v>
      </c>
      <c r="I51" s="12">
        <v>1</v>
      </c>
    </row>
    <row r="52" spans="2:9" ht="15" customHeight="1" x14ac:dyDescent="0.2">
      <c r="B52" t="s">
        <v>154</v>
      </c>
      <c r="C52" s="12">
        <v>28</v>
      </c>
      <c r="D52" s="8">
        <v>2.52</v>
      </c>
      <c r="E52" s="12">
        <v>4</v>
      </c>
      <c r="F52" s="8">
        <v>0.92</v>
      </c>
      <c r="G52" s="12">
        <v>24</v>
      </c>
      <c r="H52" s="8">
        <v>3.59</v>
      </c>
      <c r="I52" s="12">
        <v>0</v>
      </c>
    </row>
    <row r="53" spans="2:9" ht="15" customHeight="1" x14ac:dyDescent="0.2">
      <c r="B53" t="s">
        <v>169</v>
      </c>
      <c r="C53" s="12">
        <v>27</v>
      </c>
      <c r="D53" s="8">
        <v>2.4300000000000002</v>
      </c>
      <c r="E53" s="12">
        <v>24</v>
      </c>
      <c r="F53" s="8">
        <v>5.5</v>
      </c>
      <c r="G53" s="12">
        <v>3</v>
      </c>
      <c r="H53" s="8">
        <v>0.45</v>
      </c>
      <c r="I53" s="12">
        <v>0</v>
      </c>
    </row>
    <row r="54" spans="2:9" ht="15" customHeight="1" x14ac:dyDescent="0.2">
      <c r="B54" t="s">
        <v>165</v>
      </c>
      <c r="C54" s="12">
        <v>26</v>
      </c>
      <c r="D54" s="8">
        <v>2.34</v>
      </c>
      <c r="E54" s="12">
        <v>7</v>
      </c>
      <c r="F54" s="8">
        <v>1.61</v>
      </c>
      <c r="G54" s="12">
        <v>19</v>
      </c>
      <c r="H54" s="8">
        <v>2.84</v>
      </c>
      <c r="I54" s="12">
        <v>0</v>
      </c>
    </row>
    <row r="55" spans="2:9" ht="15" customHeight="1" x14ac:dyDescent="0.2">
      <c r="B55" t="s">
        <v>171</v>
      </c>
      <c r="C55" s="12">
        <v>26</v>
      </c>
      <c r="D55" s="8">
        <v>2.34</v>
      </c>
      <c r="E55" s="12">
        <v>22</v>
      </c>
      <c r="F55" s="8">
        <v>5.05</v>
      </c>
      <c r="G55" s="12">
        <v>4</v>
      </c>
      <c r="H55" s="8">
        <v>0.6</v>
      </c>
      <c r="I55" s="12">
        <v>0</v>
      </c>
    </row>
    <row r="56" spans="2:9" ht="15" customHeight="1" x14ac:dyDescent="0.2">
      <c r="B56" t="s">
        <v>161</v>
      </c>
      <c r="C56" s="12">
        <v>25</v>
      </c>
      <c r="D56" s="8">
        <v>2.25</v>
      </c>
      <c r="E56" s="12">
        <v>16</v>
      </c>
      <c r="F56" s="8">
        <v>3.67</v>
      </c>
      <c r="G56" s="12">
        <v>9</v>
      </c>
      <c r="H56" s="8">
        <v>1.35</v>
      </c>
      <c r="I56" s="12">
        <v>0</v>
      </c>
    </row>
    <row r="57" spans="2:9" ht="15" customHeight="1" x14ac:dyDescent="0.2">
      <c r="B57" t="s">
        <v>156</v>
      </c>
      <c r="C57" s="12">
        <v>21</v>
      </c>
      <c r="D57" s="8">
        <v>1.89</v>
      </c>
      <c r="E57" s="12">
        <v>3</v>
      </c>
      <c r="F57" s="8">
        <v>0.69</v>
      </c>
      <c r="G57" s="12">
        <v>18</v>
      </c>
      <c r="H57" s="8">
        <v>2.69</v>
      </c>
      <c r="I57" s="12">
        <v>0</v>
      </c>
    </row>
    <row r="58" spans="2:9" ht="15" customHeight="1" x14ac:dyDescent="0.2">
      <c r="B58" t="s">
        <v>160</v>
      </c>
      <c r="C58" s="12">
        <v>21</v>
      </c>
      <c r="D58" s="8">
        <v>1.89</v>
      </c>
      <c r="E58" s="12">
        <v>4</v>
      </c>
      <c r="F58" s="8">
        <v>0.92</v>
      </c>
      <c r="G58" s="12">
        <v>17</v>
      </c>
      <c r="H58" s="8">
        <v>2.54</v>
      </c>
      <c r="I58" s="12">
        <v>0</v>
      </c>
    </row>
    <row r="59" spans="2:9" ht="15" customHeight="1" x14ac:dyDescent="0.2">
      <c r="B59" t="s">
        <v>155</v>
      </c>
      <c r="C59" s="12">
        <v>20</v>
      </c>
      <c r="D59" s="8">
        <v>1.8</v>
      </c>
      <c r="E59" s="12">
        <v>3</v>
      </c>
      <c r="F59" s="8">
        <v>0.69</v>
      </c>
      <c r="G59" s="12">
        <v>17</v>
      </c>
      <c r="H59" s="8">
        <v>2.54</v>
      </c>
      <c r="I59" s="12">
        <v>0</v>
      </c>
    </row>
    <row r="60" spans="2:9" ht="15" customHeight="1" x14ac:dyDescent="0.2">
      <c r="B60" t="s">
        <v>163</v>
      </c>
      <c r="C60" s="12">
        <v>20</v>
      </c>
      <c r="D60" s="8">
        <v>1.8</v>
      </c>
      <c r="E60" s="12">
        <v>1</v>
      </c>
      <c r="F60" s="8">
        <v>0.23</v>
      </c>
      <c r="G60" s="12">
        <v>19</v>
      </c>
      <c r="H60" s="8">
        <v>2.84</v>
      </c>
      <c r="I60" s="12">
        <v>0</v>
      </c>
    </row>
    <row r="61" spans="2:9" ht="15" customHeight="1" x14ac:dyDescent="0.2">
      <c r="B61" t="s">
        <v>162</v>
      </c>
      <c r="C61" s="12">
        <v>19</v>
      </c>
      <c r="D61" s="8">
        <v>1.71</v>
      </c>
      <c r="E61" s="12">
        <v>7</v>
      </c>
      <c r="F61" s="8">
        <v>1.61</v>
      </c>
      <c r="G61" s="12">
        <v>12</v>
      </c>
      <c r="H61" s="8">
        <v>1.8</v>
      </c>
      <c r="I61" s="12">
        <v>0</v>
      </c>
    </row>
    <row r="62" spans="2:9" ht="15" customHeight="1" x14ac:dyDescent="0.2">
      <c r="B62" t="s">
        <v>174</v>
      </c>
      <c r="C62" s="12">
        <v>18</v>
      </c>
      <c r="D62" s="8">
        <v>1.62</v>
      </c>
      <c r="E62" s="12">
        <v>5</v>
      </c>
      <c r="F62" s="8">
        <v>1.1499999999999999</v>
      </c>
      <c r="G62" s="12">
        <v>13</v>
      </c>
      <c r="H62" s="8">
        <v>1.95</v>
      </c>
      <c r="I62" s="12">
        <v>0</v>
      </c>
    </row>
    <row r="63" spans="2:9" ht="15" customHeight="1" x14ac:dyDescent="0.2">
      <c r="B63" t="s">
        <v>185</v>
      </c>
      <c r="C63" s="12">
        <v>18</v>
      </c>
      <c r="D63" s="8">
        <v>1.62</v>
      </c>
      <c r="E63" s="12">
        <v>1</v>
      </c>
      <c r="F63" s="8">
        <v>0.23</v>
      </c>
      <c r="G63" s="12">
        <v>17</v>
      </c>
      <c r="H63" s="8">
        <v>2.54</v>
      </c>
      <c r="I63" s="12">
        <v>0</v>
      </c>
    </row>
    <row r="64" spans="2:9" ht="15" customHeight="1" x14ac:dyDescent="0.2">
      <c r="B64" t="s">
        <v>182</v>
      </c>
      <c r="C64" s="12">
        <v>18</v>
      </c>
      <c r="D64" s="8">
        <v>1.62</v>
      </c>
      <c r="E64" s="12">
        <v>5</v>
      </c>
      <c r="F64" s="8">
        <v>1.1499999999999999</v>
      </c>
      <c r="G64" s="12">
        <v>13</v>
      </c>
      <c r="H64" s="8">
        <v>1.95</v>
      </c>
      <c r="I64" s="12">
        <v>0</v>
      </c>
    </row>
    <row r="65" spans="2:9" ht="15" customHeight="1" x14ac:dyDescent="0.2">
      <c r="B65" t="s">
        <v>157</v>
      </c>
      <c r="C65" s="12">
        <v>17</v>
      </c>
      <c r="D65" s="8">
        <v>1.53</v>
      </c>
      <c r="E65" s="12">
        <v>8</v>
      </c>
      <c r="F65" s="8">
        <v>1.83</v>
      </c>
      <c r="G65" s="12">
        <v>9</v>
      </c>
      <c r="H65" s="8">
        <v>1.35</v>
      </c>
      <c r="I65" s="12">
        <v>0</v>
      </c>
    </row>
    <row r="66" spans="2:9" ht="15" customHeight="1" x14ac:dyDescent="0.2">
      <c r="B66" t="s">
        <v>179</v>
      </c>
      <c r="C66" s="12">
        <v>17</v>
      </c>
      <c r="D66" s="8">
        <v>1.53</v>
      </c>
      <c r="E66" s="12">
        <v>15</v>
      </c>
      <c r="F66" s="8">
        <v>3.44</v>
      </c>
      <c r="G66" s="12">
        <v>2</v>
      </c>
      <c r="H66" s="8">
        <v>0.3</v>
      </c>
      <c r="I66" s="12">
        <v>0</v>
      </c>
    </row>
    <row r="68" spans="2:9" ht="15" customHeight="1" x14ac:dyDescent="0.2">
      <c r="B68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A78E2-9B2B-410D-9C6D-ECEC1E3401EE}">
  <sheetPr>
    <pageSetUpPr fitToPage="1"/>
  </sheetPr>
  <dimension ref="A1:I1814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152</v>
      </c>
      <c r="B1" s="3" t="s">
        <v>282</v>
      </c>
      <c r="C1" s="7" t="s">
        <v>91</v>
      </c>
      <c r="D1" s="7" t="s">
        <v>92</v>
      </c>
      <c r="E1" s="7" t="s">
        <v>93</v>
      </c>
      <c r="F1" s="7" t="s">
        <v>94</v>
      </c>
      <c r="G1" s="7" t="s">
        <v>95</v>
      </c>
      <c r="H1" s="7" t="s">
        <v>96</v>
      </c>
      <c r="I1" s="7" t="s">
        <v>97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170</v>
      </c>
      <c r="C3" s="4">
        <v>5824</v>
      </c>
      <c r="D3" s="8">
        <v>5.01</v>
      </c>
      <c r="E3" s="4">
        <v>5138</v>
      </c>
      <c r="F3" s="8">
        <v>9.2100000000000009</v>
      </c>
      <c r="G3" s="4">
        <v>686</v>
      </c>
      <c r="H3" s="8">
        <v>1.1599999999999999</v>
      </c>
      <c r="I3" s="4">
        <v>0</v>
      </c>
    </row>
    <row r="4" spans="1:9" x14ac:dyDescent="0.2">
      <c r="A4" s="2">
        <v>2</v>
      </c>
      <c r="B4" s="1" t="s">
        <v>164</v>
      </c>
      <c r="C4" s="4">
        <v>4750</v>
      </c>
      <c r="D4" s="8">
        <v>4.09</v>
      </c>
      <c r="E4" s="4">
        <v>1961</v>
      </c>
      <c r="F4" s="8">
        <v>3.51</v>
      </c>
      <c r="G4" s="4">
        <v>2777</v>
      </c>
      <c r="H4" s="8">
        <v>4.6900000000000004</v>
      </c>
      <c r="I4" s="4">
        <v>0</v>
      </c>
    </row>
    <row r="5" spans="1:9" x14ac:dyDescent="0.2">
      <c r="A5" s="2">
        <v>3</v>
      </c>
      <c r="B5" s="1" t="s">
        <v>167</v>
      </c>
      <c r="C5" s="4">
        <v>3109</v>
      </c>
      <c r="D5" s="8">
        <v>2.68</v>
      </c>
      <c r="E5" s="4">
        <v>2804</v>
      </c>
      <c r="F5" s="8">
        <v>5.0199999999999996</v>
      </c>
      <c r="G5" s="4">
        <v>305</v>
      </c>
      <c r="H5" s="8">
        <v>0.51</v>
      </c>
      <c r="I5" s="4">
        <v>0</v>
      </c>
    </row>
    <row r="6" spans="1:9" x14ac:dyDescent="0.2">
      <c r="A6" s="2">
        <v>4</v>
      </c>
      <c r="B6" s="1" t="s">
        <v>168</v>
      </c>
      <c r="C6" s="4">
        <v>3090</v>
      </c>
      <c r="D6" s="8">
        <v>2.66</v>
      </c>
      <c r="E6" s="4">
        <v>2870</v>
      </c>
      <c r="F6" s="8">
        <v>5.14</v>
      </c>
      <c r="G6" s="4">
        <v>220</v>
      </c>
      <c r="H6" s="8">
        <v>0.37</v>
      </c>
      <c r="I6" s="4">
        <v>0</v>
      </c>
    </row>
    <row r="7" spans="1:9" x14ac:dyDescent="0.2">
      <c r="A7" s="2">
        <v>5</v>
      </c>
      <c r="B7" s="1" t="s">
        <v>169</v>
      </c>
      <c r="C7" s="4">
        <v>3002</v>
      </c>
      <c r="D7" s="8">
        <v>2.58</v>
      </c>
      <c r="E7" s="4">
        <v>2885</v>
      </c>
      <c r="F7" s="8">
        <v>5.17</v>
      </c>
      <c r="G7" s="4">
        <v>116</v>
      </c>
      <c r="H7" s="8">
        <v>0.2</v>
      </c>
      <c r="I7" s="4">
        <v>1</v>
      </c>
    </row>
    <row r="8" spans="1:9" x14ac:dyDescent="0.2">
      <c r="A8" s="2">
        <v>6</v>
      </c>
      <c r="B8" s="1" t="s">
        <v>166</v>
      </c>
      <c r="C8" s="4">
        <v>2944</v>
      </c>
      <c r="D8" s="8">
        <v>2.5299999999999998</v>
      </c>
      <c r="E8" s="4">
        <v>2365</v>
      </c>
      <c r="F8" s="8">
        <v>4.24</v>
      </c>
      <c r="G8" s="4">
        <v>579</v>
      </c>
      <c r="H8" s="8">
        <v>0.98</v>
      </c>
      <c r="I8" s="4">
        <v>0</v>
      </c>
    </row>
    <row r="9" spans="1:9" x14ac:dyDescent="0.2">
      <c r="A9" s="2">
        <v>7</v>
      </c>
      <c r="B9" s="1" t="s">
        <v>172</v>
      </c>
      <c r="C9" s="4">
        <v>2704</v>
      </c>
      <c r="D9" s="8">
        <v>2.33</v>
      </c>
      <c r="E9" s="4">
        <v>2342</v>
      </c>
      <c r="F9" s="8">
        <v>4.2</v>
      </c>
      <c r="G9" s="4">
        <v>361</v>
      </c>
      <c r="H9" s="8">
        <v>0.61</v>
      </c>
      <c r="I9" s="4">
        <v>1</v>
      </c>
    </row>
    <row r="10" spans="1:9" x14ac:dyDescent="0.2">
      <c r="A10" s="2">
        <v>8</v>
      </c>
      <c r="B10" s="1" t="s">
        <v>154</v>
      </c>
      <c r="C10" s="4">
        <v>2651</v>
      </c>
      <c r="D10" s="8">
        <v>2.2799999999999998</v>
      </c>
      <c r="E10" s="4">
        <v>439</v>
      </c>
      <c r="F10" s="8">
        <v>0.79</v>
      </c>
      <c r="G10" s="4">
        <v>2212</v>
      </c>
      <c r="H10" s="8">
        <v>3.73</v>
      </c>
      <c r="I10" s="4">
        <v>0</v>
      </c>
    </row>
    <row r="11" spans="1:9" x14ac:dyDescent="0.2">
      <c r="A11" s="2">
        <v>9</v>
      </c>
      <c r="B11" s="1" t="s">
        <v>160</v>
      </c>
      <c r="C11" s="4">
        <v>2169</v>
      </c>
      <c r="D11" s="8">
        <v>1.87</v>
      </c>
      <c r="E11" s="4">
        <v>672</v>
      </c>
      <c r="F11" s="8">
        <v>1.2</v>
      </c>
      <c r="G11" s="4">
        <v>1496</v>
      </c>
      <c r="H11" s="8">
        <v>2.52</v>
      </c>
      <c r="I11" s="4">
        <v>1</v>
      </c>
    </row>
    <row r="12" spans="1:9" x14ac:dyDescent="0.2">
      <c r="A12" s="2">
        <v>10</v>
      </c>
      <c r="B12" s="1" t="s">
        <v>171</v>
      </c>
      <c r="C12" s="4">
        <v>2159</v>
      </c>
      <c r="D12" s="8">
        <v>1.86</v>
      </c>
      <c r="E12" s="4">
        <v>1652</v>
      </c>
      <c r="F12" s="8">
        <v>2.96</v>
      </c>
      <c r="G12" s="4">
        <v>501</v>
      </c>
      <c r="H12" s="8">
        <v>0.85</v>
      </c>
      <c r="I12" s="4">
        <v>6</v>
      </c>
    </row>
    <row r="13" spans="1:9" x14ac:dyDescent="0.2">
      <c r="A13" s="2">
        <v>11</v>
      </c>
      <c r="B13" s="1" t="s">
        <v>159</v>
      </c>
      <c r="C13" s="4">
        <v>2080</v>
      </c>
      <c r="D13" s="8">
        <v>1.79</v>
      </c>
      <c r="E13" s="4">
        <v>1337</v>
      </c>
      <c r="F13" s="8">
        <v>2.4</v>
      </c>
      <c r="G13" s="4">
        <v>743</v>
      </c>
      <c r="H13" s="8">
        <v>1.25</v>
      </c>
      <c r="I13" s="4">
        <v>0</v>
      </c>
    </row>
    <row r="14" spans="1:9" x14ac:dyDescent="0.2">
      <c r="A14" s="2">
        <v>12</v>
      </c>
      <c r="B14" s="1" t="s">
        <v>158</v>
      </c>
      <c r="C14" s="4">
        <v>2079</v>
      </c>
      <c r="D14" s="8">
        <v>1.79</v>
      </c>
      <c r="E14" s="4">
        <v>1382</v>
      </c>
      <c r="F14" s="8">
        <v>2.48</v>
      </c>
      <c r="G14" s="4">
        <v>691</v>
      </c>
      <c r="H14" s="8">
        <v>1.17</v>
      </c>
      <c r="I14" s="4">
        <v>6</v>
      </c>
    </row>
    <row r="15" spans="1:9" x14ac:dyDescent="0.2">
      <c r="A15" s="2">
        <v>13</v>
      </c>
      <c r="B15" s="1" t="s">
        <v>161</v>
      </c>
      <c r="C15" s="4">
        <v>2076</v>
      </c>
      <c r="D15" s="8">
        <v>1.79</v>
      </c>
      <c r="E15" s="4">
        <v>1401</v>
      </c>
      <c r="F15" s="8">
        <v>2.5099999999999998</v>
      </c>
      <c r="G15" s="4">
        <v>673</v>
      </c>
      <c r="H15" s="8">
        <v>1.1399999999999999</v>
      </c>
      <c r="I15" s="4">
        <v>2</v>
      </c>
    </row>
    <row r="16" spans="1:9" x14ac:dyDescent="0.2">
      <c r="A16" s="2">
        <v>14</v>
      </c>
      <c r="B16" s="1" t="s">
        <v>163</v>
      </c>
      <c r="C16" s="4">
        <v>1855</v>
      </c>
      <c r="D16" s="8">
        <v>1.6</v>
      </c>
      <c r="E16" s="4">
        <v>289</v>
      </c>
      <c r="F16" s="8">
        <v>0.52</v>
      </c>
      <c r="G16" s="4">
        <v>1563</v>
      </c>
      <c r="H16" s="8">
        <v>2.64</v>
      </c>
      <c r="I16" s="4">
        <v>3</v>
      </c>
    </row>
    <row r="17" spans="1:9" x14ac:dyDescent="0.2">
      <c r="A17" s="2">
        <v>15</v>
      </c>
      <c r="B17" s="1" t="s">
        <v>155</v>
      </c>
      <c r="C17" s="4">
        <v>1790</v>
      </c>
      <c r="D17" s="8">
        <v>1.54</v>
      </c>
      <c r="E17" s="4">
        <v>283</v>
      </c>
      <c r="F17" s="8">
        <v>0.51</v>
      </c>
      <c r="G17" s="4">
        <v>1507</v>
      </c>
      <c r="H17" s="8">
        <v>2.54</v>
      </c>
      <c r="I17" s="4">
        <v>0</v>
      </c>
    </row>
    <row r="18" spans="1:9" x14ac:dyDescent="0.2">
      <c r="A18" s="2">
        <v>16</v>
      </c>
      <c r="B18" s="1" t="s">
        <v>165</v>
      </c>
      <c r="C18" s="4">
        <v>1691</v>
      </c>
      <c r="D18" s="8">
        <v>1.46</v>
      </c>
      <c r="E18" s="4">
        <v>528</v>
      </c>
      <c r="F18" s="8">
        <v>0.95</v>
      </c>
      <c r="G18" s="4">
        <v>1146</v>
      </c>
      <c r="H18" s="8">
        <v>1.93</v>
      </c>
      <c r="I18" s="4">
        <v>2</v>
      </c>
    </row>
    <row r="19" spans="1:9" x14ac:dyDescent="0.2">
      <c r="A19" s="2">
        <v>17</v>
      </c>
      <c r="B19" s="1" t="s">
        <v>162</v>
      </c>
      <c r="C19" s="4">
        <v>1628</v>
      </c>
      <c r="D19" s="8">
        <v>1.4</v>
      </c>
      <c r="E19" s="4">
        <v>336</v>
      </c>
      <c r="F19" s="8">
        <v>0.6</v>
      </c>
      <c r="G19" s="4">
        <v>1292</v>
      </c>
      <c r="H19" s="8">
        <v>2.1800000000000002</v>
      </c>
      <c r="I19" s="4">
        <v>0</v>
      </c>
    </row>
    <row r="20" spans="1:9" x14ac:dyDescent="0.2">
      <c r="A20" s="2">
        <v>18</v>
      </c>
      <c r="B20" s="1" t="s">
        <v>156</v>
      </c>
      <c r="C20" s="4">
        <v>1626</v>
      </c>
      <c r="D20" s="8">
        <v>1.4</v>
      </c>
      <c r="E20" s="4">
        <v>434</v>
      </c>
      <c r="F20" s="8">
        <v>0.78</v>
      </c>
      <c r="G20" s="4">
        <v>1192</v>
      </c>
      <c r="H20" s="8">
        <v>2.0099999999999998</v>
      </c>
      <c r="I20" s="4">
        <v>0</v>
      </c>
    </row>
    <row r="21" spans="1:9" x14ac:dyDescent="0.2">
      <c r="A21" s="2">
        <v>19</v>
      </c>
      <c r="B21" s="1" t="s">
        <v>173</v>
      </c>
      <c r="C21" s="4">
        <v>1578</v>
      </c>
      <c r="D21" s="8">
        <v>1.36</v>
      </c>
      <c r="E21" s="4">
        <v>1233</v>
      </c>
      <c r="F21" s="8">
        <v>2.21</v>
      </c>
      <c r="G21" s="4">
        <v>344</v>
      </c>
      <c r="H21" s="8">
        <v>0.57999999999999996</v>
      </c>
      <c r="I21" s="4">
        <v>1</v>
      </c>
    </row>
    <row r="22" spans="1:9" x14ac:dyDescent="0.2">
      <c r="A22" s="2">
        <v>20</v>
      </c>
      <c r="B22" s="1" t="s">
        <v>157</v>
      </c>
      <c r="C22" s="4">
        <v>1559</v>
      </c>
      <c r="D22" s="8">
        <v>1.34</v>
      </c>
      <c r="E22" s="4">
        <v>740</v>
      </c>
      <c r="F22" s="8">
        <v>1.33</v>
      </c>
      <c r="G22" s="4">
        <v>819</v>
      </c>
      <c r="H22" s="8">
        <v>1.38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170</v>
      </c>
      <c r="C25" s="4">
        <v>1206</v>
      </c>
      <c r="D25" s="8">
        <v>5.36</v>
      </c>
      <c r="E25" s="4">
        <v>1049</v>
      </c>
      <c r="F25" s="8">
        <v>9.4499999999999993</v>
      </c>
      <c r="G25" s="4">
        <v>157</v>
      </c>
      <c r="H25" s="8">
        <v>1.4</v>
      </c>
      <c r="I25" s="4">
        <v>0</v>
      </c>
    </row>
    <row r="26" spans="1:9" x14ac:dyDescent="0.2">
      <c r="A26" s="2">
        <v>2</v>
      </c>
      <c r="B26" s="1" t="s">
        <v>164</v>
      </c>
      <c r="C26" s="4">
        <v>1155</v>
      </c>
      <c r="D26" s="8">
        <v>5.14</v>
      </c>
      <c r="E26" s="4">
        <v>632</v>
      </c>
      <c r="F26" s="8">
        <v>5.69</v>
      </c>
      <c r="G26" s="4">
        <v>523</v>
      </c>
      <c r="H26" s="8">
        <v>4.68</v>
      </c>
      <c r="I26" s="4">
        <v>0</v>
      </c>
    </row>
    <row r="27" spans="1:9" x14ac:dyDescent="0.2">
      <c r="A27" s="2">
        <v>3</v>
      </c>
      <c r="B27" s="1" t="s">
        <v>168</v>
      </c>
      <c r="C27" s="4">
        <v>649</v>
      </c>
      <c r="D27" s="8">
        <v>2.89</v>
      </c>
      <c r="E27" s="4">
        <v>623</v>
      </c>
      <c r="F27" s="8">
        <v>5.61</v>
      </c>
      <c r="G27" s="4">
        <v>26</v>
      </c>
      <c r="H27" s="8">
        <v>0.23</v>
      </c>
      <c r="I27" s="4">
        <v>0</v>
      </c>
    </row>
    <row r="28" spans="1:9" x14ac:dyDescent="0.2">
      <c r="A28" s="2">
        <v>4</v>
      </c>
      <c r="B28" s="1" t="s">
        <v>169</v>
      </c>
      <c r="C28" s="4">
        <v>634</v>
      </c>
      <c r="D28" s="8">
        <v>2.82</v>
      </c>
      <c r="E28" s="4">
        <v>615</v>
      </c>
      <c r="F28" s="8">
        <v>5.54</v>
      </c>
      <c r="G28" s="4">
        <v>19</v>
      </c>
      <c r="H28" s="8">
        <v>0.17</v>
      </c>
      <c r="I28" s="4">
        <v>0</v>
      </c>
    </row>
    <row r="29" spans="1:9" x14ac:dyDescent="0.2">
      <c r="A29" s="2">
        <v>5</v>
      </c>
      <c r="B29" s="1" t="s">
        <v>167</v>
      </c>
      <c r="C29" s="4">
        <v>630</v>
      </c>
      <c r="D29" s="8">
        <v>2.8</v>
      </c>
      <c r="E29" s="4">
        <v>572</v>
      </c>
      <c r="F29" s="8">
        <v>5.15</v>
      </c>
      <c r="G29" s="4">
        <v>58</v>
      </c>
      <c r="H29" s="8">
        <v>0.52</v>
      </c>
      <c r="I29" s="4">
        <v>0</v>
      </c>
    </row>
    <row r="30" spans="1:9" x14ac:dyDescent="0.2">
      <c r="A30" s="2">
        <v>6</v>
      </c>
      <c r="B30" s="1" t="s">
        <v>166</v>
      </c>
      <c r="C30" s="4">
        <v>568</v>
      </c>
      <c r="D30" s="8">
        <v>2.5299999999999998</v>
      </c>
      <c r="E30" s="4">
        <v>454</v>
      </c>
      <c r="F30" s="8">
        <v>4.09</v>
      </c>
      <c r="G30" s="4">
        <v>114</v>
      </c>
      <c r="H30" s="8">
        <v>1.02</v>
      </c>
      <c r="I30" s="4">
        <v>0</v>
      </c>
    </row>
    <row r="31" spans="1:9" x14ac:dyDescent="0.2">
      <c r="A31" s="2">
        <v>7</v>
      </c>
      <c r="B31" s="1" t="s">
        <v>160</v>
      </c>
      <c r="C31" s="4">
        <v>511</v>
      </c>
      <c r="D31" s="8">
        <v>2.27</v>
      </c>
      <c r="E31" s="4">
        <v>155</v>
      </c>
      <c r="F31" s="8">
        <v>1.4</v>
      </c>
      <c r="G31" s="4">
        <v>356</v>
      </c>
      <c r="H31" s="8">
        <v>3.18</v>
      </c>
      <c r="I31" s="4">
        <v>0</v>
      </c>
    </row>
    <row r="32" spans="1:9" x14ac:dyDescent="0.2">
      <c r="A32" s="2">
        <v>8</v>
      </c>
      <c r="B32" s="1" t="s">
        <v>172</v>
      </c>
      <c r="C32" s="4">
        <v>503</v>
      </c>
      <c r="D32" s="8">
        <v>2.2400000000000002</v>
      </c>
      <c r="E32" s="4">
        <v>437</v>
      </c>
      <c r="F32" s="8">
        <v>3.94</v>
      </c>
      <c r="G32" s="4">
        <v>66</v>
      </c>
      <c r="H32" s="8">
        <v>0.59</v>
      </c>
      <c r="I32" s="4">
        <v>0</v>
      </c>
    </row>
    <row r="33" spans="1:9" x14ac:dyDescent="0.2">
      <c r="A33" s="2">
        <v>9</v>
      </c>
      <c r="B33" s="1" t="s">
        <v>158</v>
      </c>
      <c r="C33" s="4">
        <v>484</v>
      </c>
      <c r="D33" s="8">
        <v>2.15</v>
      </c>
      <c r="E33" s="4">
        <v>331</v>
      </c>
      <c r="F33" s="8">
        <v>2.98</v>
      </c>
      <c r="G33" s="4">
        <v>153</v>
      </c>
      <c r="H33" s="8">
        <v>1.37</v>
      </c>
      <c r="I33" s="4">
        <v>0</v>
      </c>
    </row>
    <row r="34" spans="1:9" x14ac:dyDescent="0.2">
      <c r="A34" s="2">
        <v>10</v>
      </c>
      <c r="B34" s="1" t="s">
        <v>161</v>
      </c>
      <c r="C34" s="4">
        <v>475</v>
      </c>
      <c r="D34" s="8">
        <v>2.11</v>
      </c>
      <c r="E34" s="4">
        <v>323</v>
      </c>
      <c r="F34" s="8">
        <v>2.91</v>
      </c>
      <c r="G34" s="4">
        <v>152</v>
      </c>
      <c r="H34" s="8">
        <v>1.36</v>
      </c>
      <c r="I34" s="4">
        <v>0</v>
      </c>
    </row>
    <row r="35" spans="1:9" x14ac:dyDescent="0.2">
      <c r="A35" s="2">
        <v>11</v>
      </c>
      <c r="B35" s="1" t="s">
        <v>154</v>
      </c>
      <c r="C35" s="4">
        <v>444</v>
      </c>
      <c r="D35" s="8">
        <v>1.97</v>
      </c>
      <c r="E35" s="4">
        <v>66</v>
      </c>
      <c r="F35" s="8">
        <v>0.59</v>
      </c>
      <c r="G35" s="4">
        <v>378</v>
      </c>
      <c r="H35" s="8">
        <v>3.38</v>
      </c>
      <c r="I35" s="4">
        <v>0</v>
      </c>
    </row>
    <row r="36" spans="1:9" x14ac:dyDescent="0.2">
      <c r="A36" s="2">
        <v>12</v>
      </c>
      <c r="B36" s="1" t="s">
        <v>175</v>
      </c>
      <c r="C36" s="4">
        <v>394</v>
      </c>
      <c r="D36" s="8">
        <v>1.75</v>
      </c>
      <c r="E36" s="4">
        <v>315</v>
      </c>
      <c r="F36" s="8">
        <v>2.84</v>
      </c>
      <c r="G36" s="4">
        <v>79</v>
      </c>
      <c r="H36" s="8">
        <v>0.71</v>
      </c>
      <c r="I36" s="4">
        <v>0</v>
      </c>
    </row>
    <row r="37" spans="1:9" x14ac:dyDescent="0.2">
      <c r="A37" s="2">
        <v>13</v>
      </c>
      <c r="B37" s="1" t="s">
        <v>163</v>
      </c>
      <c r="C37" s="4">
        <v>378</v>
      </c>
      <c r="D37" s="8">
        <v>1.68</v>
      </c>
      <c r="E37" s="4">
        <v>87</v>
      </c>
      <c r="F37" s="8">
        <v>0.78</v>
      </c>
      <c r="G37" s="4">
        <v>291</v>
      </c>
      <c r="H37" s="8">
        <v>2.6</v>
      </c>
      <c r="I37" s="4">
        <v>0</v>
      </c>
    </row>
    <row r="38" spans="1:9" x14ac:dyDescent="0.2">
      <c r="A38" s="2">
        <v>14</v>
      </c>
      <c r="B38" s="1" t="s">
        <v>171</v>
      </c>
      <c r="C38" s="4">
        <v>376</v>
      </c>
      <c r="D38" s="8">
        <v>1.67</v>
      </c>
      <c r="E38" s="4">
        <v>304</v>
      </c>
      <c r="F38" s="8">
        <v>2.74</v>
      </c>
      <c r="G38" s="4">
        <v>71</v>
      </c>
      <c r="H38" s="8">
        <v>0.64</v>
      </c>
      <c r="I38" s="4">
        <v>1</v>
      </c>
    </row>
    <row r="39" spans="1:9" x14ac:dyDescent="0.2">
      <c r="A39" s="2">
        <v>15</v>
      </c>
      <c r="B39" s="1" t="s">
        <v>155</v>
      </c>
      <c r="C39" s="4">
        <v>364</v>
      </c>
      <c r="D39" s="8">
        <v>1.62</v>
      </c>
      <c r="E39" s="4">
        <v>39</v>
      </c>
      <c r="F39" s="8">
        <v>0.35</v>
      </c>
      <c r="G39" s="4">
        <v>325</v>
      </c>
      <c r="H39" s="8">
        <v>2.91</v>
      </c>
      <c r="I39" s="4">
        <v>0</v>
      </c>
    </row>
    <row r="40" spans="1:9" x14ac:dyDescent="0.2">
      <c r="A40" s="2">
        <v>16</v>
      </c>
      <c r="B40" s="1" t="s">
        <v>156</v>
      </c>
      <c r="C40" s="4">
        <v>360</v>
      </c>
      <c r="D40" s="8">
        <v>1.6</v>
      </c>
      <c r="E40" s="4">
        <v>60</v>
      </c>
      <c r="F40" s="8">
        <v>0.54</v>
      </c>
      <c r="G40" s="4">
        <v>300</v>
      </c>
      <c r="H40" s="8">
        <v>2.68</v>
      </c>
      <c r="I40" s="4">
        <v>0</v>
      </c>
    </row>
    <row r="41" spans="1:9" x14ac:dyDescent="0.2">
      <c r="A41" s="2">
        <v>17</v>
      </c>
      <c r="B41" s="1" t="s">
        <v>159</v>
      </c>
      <c r="C41" s="4">
        <v>343</v>
      </c>
      <c r="D41" s="8">
        <v>1.53</v>
      </c>
      <c r="E41" s="4">
        <v>197</v>
      </c>
      <c r="F41" s="8">
        <v>1.77</v>
      </c>
      <c r="G41" s="4">
        <v>146</v>
      </c>
      <c r="H41" s="8">
        <v>1.31</v>
      </c>
      <c r="I41" s="4">
        <v>0</v>
      </c>
    </row>
    <row r="42" spans="1:9" x14ac:dyDescent="0.2">
      <c r="A42" s="2">
        <v>18</v>
      </c>
      <c r="B42" s="1" t="s">
        <v>157</v>
      </c>
      <c r="C42" s="4">
        <v>312</v>
      </c>
      <c r="D42" s="8">
        <v>1.39</v>
      </c>
      <c r="E42" s="4">
        <v>168</v>
      </c>
      <c r="F42" s="8">
        <v>1.51</v>
      </c>
      <c r="G42" s="4">
        <v>144</v>
      </c>
      <c r="H42" s="8">
        <v>1.29</v>
      </c>
      <c r="I42" s="4">
        <v>0</v>
      </c>
    </row>
    <row r="43" spans="1:9" x14ac:dyDescent="0.2">
      <c r="A43" s="2">
        <v>19</v>
      </c>
      <c r="B43" s="1" t="s">
        <v>162</v>
      </c>
      <c r="C43" s="4">
        <v>288</v>
      </c>
      <c r="D43" s="8">
        <v>1.28</v>
      </c>
      <c r="E43" s="4">
        <v>58</v>
      </c>
      <c r="F43" s="8">
        <v>0.52</v>
      </c>
      <c r="G43" s="4">
        <v>230</v>
      </c>
      <c r="H43" s="8">
        <v>2.06</v>
      </c>
      <c r="I43" s="4">
        <v>0</v>
      </c>
    </row>
    <row r="44" spans="1:9" x14ac:dyDescent="0.2">
      <c r="A44" s="2">
        <v>20</v>
      </c>
      <c r="B44" s="1" t="s">
        <v>174</v>
      </c>
      <c r="C44" s="4">
        <v>286</v>
      </c>
      <c r="D44" s="8">
        <v>1.27</v>
      </c>
      <c r="E44" s="4">
        <v>57</v>
      </c>
      <c r="F44" s="8">
        <v>0.51</v>
      </c>
      <c r="G44" s="4">
        <v>229</v>
      </c>
      <c r="H44" s="8">
        <v>2.0499999999999998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170</v>
      </c>
      <c r="C47" s="4">
        <v>114</v>
      </c>
      <c r="D47" s="8">
        <v>5</v>
      </c>
      <c r="E47" s="4">
        <v>99</v>
      </c>
      <c r="F47" s="8">
        <v>8.15</v>
      </c>
      <c r="G47" s="4">
        <v>15</v>
      </c>
      <c r="H47" s="8">
        <v>1.45</v>
      </c>
      <c r="I47" s="4">
        <v>0</v>
      </c>
    </row>
    <row r="48" spans="1:9" x14ac:dyDescent="0.2">
      <c r="A48" s="2">
        <v>2</v>
      </c>
      <c r="B48" s="1" t="s">
        <v>164</v>
      </c>
      <c r="C48" s="4">
        <v>110</v>
      </c>
      <c r="D48" s="8">
        <v>4.83</v>
      </c>
      <c r="E48" s="4">
        <v>69</v>
      </c>
      <c r="F48" s="8">
        <v>5.68</v>
      </c>
      <c r="G48" s="4">
        <v>41</v>
      </c>
      <c r="H48" s="8">
        <v>3.97</v>
      </c>
      <c r="I48" s="4">
        <v>0</v>
      </c>
    </row>
    <row r="49" spans="1:9" x14ac:dyDescent="0.2">
      <c r="A49" s="2">
        <v>3</v>
      </c>
      <c r="B49" s="1" t="s">
        <v>168</v>
      </c>
      <c r="C49" s="4">
        <v>77</v>
      </c>
      <c r="D49" s="8">
        <v>3.38</v>
      </c>
      <c r="E49" s="4">
        <v>77</v>
      </c>
      <c r="F49" s="8">
        <v>6.34</v>
      </c>
      <c r="G49" s="4">
        <v>0</v>
      </c>
      <c r="H49" s="8">
        <v>0</v>
      </c>
      <c r="I49" s="4">
        <v>0</v>
      </c>
    </row>
    <row r="50" spans="1:9" x14ac:dyDescent="0.2">
      <c r="A50" s="2">
        <v>4</v>
      </c>
      <c r="B50" s="1" t="s">
        <v>158</v>
      </c>
      <c r="C50" s="4">
        <v>68</v>
      </c>
      <c r="D50" s="8">
        <v>2.98</v>
      </c>
      <c r="E50" s="4">
        <v>46</v>
      </c>
      <c r="F50" s="8">
        <v>3.79</v>
      </c>
      <c r="G50" s="4">
        <v>22</v>
      </c>
      <c r="H50" s="8">
        <v>2.13</v>
      </c>
      <c r="I50" s="4">
        <v>0</v>
      </c>
    </row>
    <row r="51" spans="1:9" x14ac:dyDescent="0.2">
      <c r="A51" s="2">
        <v>4</v>
      </c>
      <c r="B51" s="1" t="s">
        <v>169</v>
      </c>
      <c r="C51" s="4">
        <v>68</v>
      </c>
      <c r="D51" s="8">
        <v>2.98</v>
      </c>
      <c r="E51" s="4">
        <v>66</v>
      </c>
      <c r="F51" s="8">
        <v>5.44</v>
      </c>
      <c r="G51" s="4">
        <v>2</v>
      </c>
      <c r="H51" s="8">
        <v>0.19</v>
      </c>
      <c r="I51" s="4">
        <v>0</v>
      </c>
    </row>
    <row r="52" spans="1:9" x14ac:dyDescent="0.2">
      <c r="A52" s="2">
        <v>6</v>
      </c>
      <c r="B52" s="1" t="s">
        <v>175</v>
      </c>
      <c r="C52" s="4">
        <v>60</v>
      </c>
      <c r="D52" s="8">
        <v>2.63</v>
      </c>
      <c r="E52" s="4">
        <v>53</v>
      </c>
      <c r="F52" s="8">
        <v>4.37</v>
      </c>
      <c r="G52" s="4">
        <v>7</v>
      </c>
      <c r="H52" s="8">
        <v>0.68</v>
      </c>
      <c r="I52" s="4">
        <v>0</v>
      </c>
    </row>
    <row r="53" spans="1:9" x14ac:dyDescent="0.2">
      <c r="A53" s="2">
        <v>7</v>
      </c>
      <c r="B53" s="1" t="s">
        <v>167</v>
      </c>
      <c r="C53" s="4">
        <v>59</v>
      </c>
      <c r="D53" s="8">
        <v>2.59</v>
      </c>
      <c r="E53" s="4">
        <v>54</v>
      </c>
      <c r="F53" s="8">
        <v>4.45</v>
      </c>
      <c r="G53" s="4">
        <v>5</v>
      </c>
      <c r="H53" s="8">
        <v>0.48</v>
      </c>
      <c r="I53" s="4">
        <v>0</v>
      </c>
    </row>
    <row r="54" spans="1:9" x14ac:dyDescent="0.2">
      <c r="A54" s="2">
        <v>8</v>
      </c>
      <c r="B54" s="1" t="s">
        <v>166</v>
      </c>
      <c r="C54" s="4">
        <v>58</v>
      </c>
      <c r="D54" s="8">
        <v>2.54</v>
      </c>
      <c r="E54" s="4">
        <v>51</v>
      </c>
      <c r="F54" s="8">
        <v>4.2</v>
      </c>
      <c r="G54" s="4">
        <v>7</v>
      </c>
      <c r="H54" s="8">
        <v>0.68</v>
      </c>
      <c r="I54" s="4">
        <v>0</v>
      </c>
    </row>
    <row r="55" spans="1:9" x14ac:dyDescent="0.2">
      <c r="A55" s="2">
        <v>9</v>
      </c>
      <c r="B55" s="1" t="s">
        <v>154</v>
      </c>
      <c r="C55" s="4">
        <v>56</v>
      </c>
      <c r="D55" s="8">
        <v>2.46</v>
      </c>
      <c r="E55" s="4">
        <v>7</v>
      </c>
      <c r="F55" s="8">
        <v>0.57999999999999996</v>
      </c>
      <c r="G55" s="4">
        <v>49</v>
      </c>
      <c r="H55" s="8">
        <v>4.75</v>
      </c>
      <c r="I55" s="4">
        <v>0</v>
      </c>
    </row>
    <row r="56" spans="1:9" x14ac:dyDescent="0.2">
      <c r="A56" s="2">
        <v>10</v>
      </c>
      <c r="B56" s="1" t="s">
        <v>161</v>
      </c>
      <c r="C56" s="4">
        <v>53</v>
      </c>
      <c r="D56" s="8">
        <v>2.33</v>
      </c>
      <c r="E56" s="4">
        <v>41</v>
      </c>
      <c r="F56" s="8">
        <v>3.38</v>
      </c>
      <c r="G56" s="4">
        <v>12</v>
      </c>
      <c r="H56" s="8">
        <v>1.1599999999999999</v>
      </c>
      <c r="I56" s="4">
        <v>0</v>
      </c>
    </row>
    <row r="57" spans="1:9" x14ac:dyDescent="0.2">
      <c r="A57" s="2">
        <v>11</v>
      </c>
      <c r="B57" s="1" t="s">
        <v>156</v>
      </c>
      <c r="C57" s="4">
        <v>45</v>
      </c>
      <c r="D57" s="8">
        <v>1.97</v>
      </c>
      <c r="E57" s="4">
        <v>5</v>
      </c>
      <c r="F57" s="8">
        <v>0.41</v>
      </c>
      <c r="G57" s="4">
        <v>40</v>
      </c>
      <c r="H57" s="8">
        <v>3.88</v>
      </c>
      <c r="I57" s="4">
        <v>0</v>
      </c>
    </row>
    <row r="58" spans="1:9" x14ac:dyDescent="0.2">
      <c r="A58" s="2">
        <v>12</v>
      </c>
      <c r="B58" s="1" t="s">
        <v>160</v>
      </c>
      <c r="C58" s="4">
        <v>44</v>
      </c>
      <c r="D58" s="8">
        <v>1.93</v>
      </c>
      <c r="E58" s="4">
        <v>9</v>
      </c>
      <c r="F58" s="8">
        <v>0.74</v>
      </c>
      <c r="G58" s="4">
        <v>35</v>
      </c>
      <c r="H58" s="8">
        <v>3.39</v>
      </c>
      <c r="I58" s="4">
        <v>0</v>
      </c>
    </row>
    <row r="59" spans="1:9" x14ac:dyDescent="0.2">
      <c r="A59" s="2">
        <v>12</v>
      </c>
      <c r="B59" s="1" t="s">
        <v>179</v>
      </c>
      <c r="C59" s="4">
        <v>44</v>
      </c>
      <c r="D59" s="8">
        <v>1.93</v>
      </c>
      <c r="E59" s="4">
        <v>41</v>
      </c>
      <c r="F59" s="8">
        <v>3.38</v>
      </c>
      <c r="G59" s="4">
        <v>3</v>
      </c>
      <c r="H59" s="8">
        <v>0.28999999999999998</v>
      </c>
      <c r="I59" s="4">
        <v>0</v>
      </c>
    </row>
    <row r="60" spans="1:9" x14ac:dyDescent="0.2">
      <c r="A60" s="2">
        <v>12</v>
      </c>
      <c r="B60" s="1" t="s">
        <v>172</v>
      </c>
      <c r="C60" s="4">
        <v>44</v>
      </c>
      <c r="D60" s="8">
        <v>1.93</v>
      </c>
      <c r="E60" s="4">
        <v>36</v>
      </c>
      <c r="F60" s="8">
        <v>2.97</v>
      </c>
      <c r="G60" s="4">
        <v>8</v>
      </c>
      <c r="H60" s="8">
        <v>0.78</v>
      </c>
      <c r="I60" s="4">
        <v>0</v>
      </c>
    </row>
    <row r="61" spans="1:9" x14ac:dyDescent="0.2">
      <c r="A61" s="2">
        <v>15</v>
      </c>
      <c r="B61" s="1" t="s">
        <v>177</v>
      </c>
      <c r="C61" s="4">
        <v>40</v>
      </c>
      <c r="D61" s="8">
        <v>1.76</v>
      </c>
      <c r="E61" s="4">
        <v>26</v>
      </c>
      <c r="F61" s="8">
        <v>2.14</v>
      </c>
      <c r="G61" s="4">
        <v>14</v>
      </c>
      <c r="H61" s="8">
        <v>1.36</v>
      </c>
      <c r="I61" s="4">
        <v>0</v>
      </c>
    </row>
    <row r="62" spans="1:9" x14ac:dyDescent="0.2">
      <c r="A62" s="2">
        <v>16</v>
      </c>
      <c r="B62" s="1" t="s">
        <v>159</v>
      </c>
      <c r="C62" s="4">
        <v>37</v>
      </c>
      <c r="D62" s="8">
        <v>1.62</v>
      </c>
      <c r="E62" s="4">
        <v>19</v>
      </c>
      <c r="F62" s="8">
        <v>1.57</v>
      </c>
      <c r="G62" s="4">
        <v>18</v>
      </c>
      <c r="H62" s="8">
        <v>1.74</v>
      </c>
      <c r="I62" s="4">
        <v>0</v>
      </c>
    </row>
    <row r="63" spans="1:9" x14ac:dyDescent="0.2">
      <c r="A63" s="2">
        <v>17</v>
      </c>
      <c r="B63" s="1" t="s">
        <v>176</v>
      </c>
      <c r="C63" s="4">
        <v>33</v>
      </c>
      <c r="D63" s="8">
        <v>1.45</v>
      </c>
      <c r="E63" s="4">
        <v>27</v>
      </c>
      <c r="F63" s="8">
        <v>2.2200000000000002</v>
      </c>
      <c r="G63" s="4">
        <v>6</v>
      </c>
      <c r="H63" s="8">
        <v>0.57999999999999996</v>
      </c>
      <c r="I63" s="4">
        <v>0</v>
      </c>
    </row>
    <row r="64" spans="1:9" x14ac:dyDescent="0.2">
      <c r="A64" s="2">
        <v>18</v>
      </c>
      <c r="B64" s="1" t="s">
        <v>163</v>
      </c>
      <c r="C64" s="4">
        <v>30</v>
      </c>
      <c r="D64" s="8">
        <v>1.32</v>
      </c>
      <c r="E64" s="4">
        <v>13</v>
      </c>
      <c r="F64" s="8">
        <v>1.07</v>
      </c>
      <c r="G64" s="4">
        <v>17</v>
      </c>
      <c r="H64" s="8">
        <v>1.65</v>
      </c>
      <c r="I64" s="4">
        <v>0</v>
      </c>
    </row>
    <row r="65" spans="1:9" x14ac:dyDescent="0.2">
      <c r="A65" s="2">
        <v>18</v>
      </c>
      <c r="B65" s="1" t="s">
        <v>178</v>
      </c>
      <c r="C65" s="4">
        <v>30</v>
      </c>
      <c r="D65" s="8">
        <v>1.32</v>
      </c>
      <c r="E65" s="4">
        <v>27</v>
      </c>
      <c r="F65" s="8">
        <v>2.2200000000000002</v>
      </c>
      <c r="G65" s="4">
        <v>3</v>
      </c>
      <c r="H65" s="8">
        <v>0.28999999999999998</v>
      </c>
      <c r="I65" s="4">
        <v>0</v>
      </c>
    </row>
    <row r="66" spans="1:9" x14ac:dyDescent="0.2">
      <c r="A66" s="2">
        <v>20</v>
      </c>
      <c r="B66" s="1" t="s">
        <v>157</v>
      </c>
      <c r="C66" s="4">
        <v>29</v>
      </c>
      <c r="D66" s="8">
        <v>1.27</v>
      </c>
      <c r="E66" s="4">
        <v>19</v>
      </c>
      <c r="F66" s="8">
        <v>1.57</v>
      </c>
      <c r="G66" s="4">
        <v>10</v>
      </c>
      <c r="H66" s="8">
        <v>0.97</v>
      </c>
      <c r="I66" s="4">
        <v>0</v>
      </c>
    </row>
    <row r="67" spans="1:9" x14ac:dyDescent="0.2">
      <c r="A67" s="2">
        <v>20</v>
      </c>
      <c r="B67" s="1" t="s">
        <v>171</v>
      </c>
      <c r="C67" s="4">
        <v>29</v>
      </c>
      <c r="D67" s="8">
        <v>1.27</v>
      </c>
      <c r="E67" s="4">
        <v>25</v>
      </c>
      <c r="F67" s="8">
        <v>2.06</v>
      </c>
      <c r="G67" s="4">
        <v>4</v>
      </c>
      <c r="H67" s="8">
        <v>0.39</v>
      </c>
      <c r="I67" s="4">
        <v>0</v>
      </c>
    </row>
    <row r="68" spans="1:9" x14ac:dyDescent="0.2">
      <c r="A68" s="1"/>
      <c r="C68" s="4"/>
      <c r="D68" s="8"/>
      <c r="E68" s="4"/>
      <c r="F68" s="8"/>
      <c r="G68" s="4"/>
      <c r="H68" s="8"/>
      <c r="I68" s="4"/>
    </row>
    <row r="69" spans="1:9" x14ac:dyDescent="0.2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2">
      <c r="A70" s="2">
        <v>1</v>
      </c>
      <c r="B70" s="1" t="s">
        <v>170</v>
      </c>
      <c r="C70" s="4">
        <v>112</v>
      </c>
      <c r="D70" s="8">
        <v>6.09</v>
      </c>
      <c r="E70" s="4">
        <v>103</v>
      </c>
      <c r="F70" s="8">
        <v>11.39</v>
      </c>
      <c r="G70" s="4">
        <v>9</v>
      </c>
      <c r="H70" s="8">
        <v>0.98</v>
      </c>
      <c r="I70" s="4">
        <v>0</v>
      </c>
    </row>
    <row r="71" spans="1:9" x14ac:dyDescent="0.2">
      <c r="A71" s="2">
        <v>2</v>
      </c>
      <c r="B71" s="1" t="s">
        <v>164</v>
      </c>
      <c r="C71" s="4">
        <v>86</v>
      </c>
      <c r="D71" s="8">
        <v>4.68</v>
      </c>
      <c r="E71" s="4">
        <v>46</v>
      </c>
      <c r="F71" s="8">
        <v>5.09</v>
      </c>
      <c r="G71" s="4">
        <v>40</v>
      </c>
      <c r="H71" s="8">
        <v>4.37</v>
      </c>
      <c r="I71" s="4">
        <v>0</v>
      </c>
    </row>
    <row r="72" spans="1:9" x14ac:dyDescent="0.2">
      <c r="A72" s="2">
        <v>3</v>
      </c>
      <c r="B72" s="1" t="s">
        <v>169</v>
      </c>
      <c r="C72" s="4">
        <v>56</v>
      </c>
      <c r="D72" s="8">
        <v>3.05</v>
      </c>
      <c r="E72" s="4">
        <v>55</v>
      </c>
      <c r="F72" s="8">
        <v>6.08</v>
      </c>
      <c r="G72" s="4">
        <v>1</v>
      </c>
      <c r="H72" s="8">
        <v>0.11</v>
      </c>
      <c r="I72" s="4">
        <v>0</v>
      </c>
    </row>
    <row r="73" spans="1:9" x14ac:dyDescent="0.2">
      <c r="A73" s="2">
        <v>4</v>
      </c>
      <c r="B73" s="1" t="s">
        <v>154</v>
      </c>
      <c r="C73" s="4">
        <v>46</v>
      </c>
      <c r="D73" s="8">
        <v>2.5</v>
      </c>
      <c r="E73" s="4">
        <v>3</v>
      </c>
      <c r="F73" s="8">
        <v>0.33</v>
      </c>
      <c r="G73" s="4">
        <v>43</v>
      </c>
      <c r="H73" s="8">
        <v>4.6900000000000004</v>
      </c>
      <c r="I73" s="4">
        <v>0</v>
      </c>
    </row>
    <row r="74" spans="1:9" x14ac:dyDescent="0.2">
      <c r="A74" s="2">
        <v>5</v>
      </c>
      <c r="B74" s="1" t="s">
        <v>168</v>
      </c>
      <c r="C74" s="4">
        <v>45</v>
      </c>
      <c r="D74" s="8">
        <v>2.4500000000000002</v>
      </c>
      <c r="E74" s="4">
        <v>45</v>
      </c>
      <c r="F74" s="8">
        <v>4.9800000000000004</v>
      </c>
      <c r="G74" s="4">
        <v>0</v>
      </c>
      <c r="H74" s="8">
        <v>0</v>
      </c>
      <c r="I74" s="4">
        <v>0</v>
      </c>
    </row>
    <row r="75" spans="1:9" x14ac:dyDescent="0.2">
      <c r="A75" s="2">
        <v>6</v>
      </c>
      <c r="B75" s="1" t="s">
        <v>172</v>
      </c>
      <c r="C75" s="4">
        <v>44</v>
      </c>
      <c r="D75" s="8">
        <v>2.39</v>
      </c>
      <c r="E75" s="4">
        <v>42</v>
      </c>
      <c r="F75" s="8">
        <v>4.6500000000000004</v>
      </c>
      <c r="G75" s="4">
        <v>2</v>
      </c>
      <c r="H75" s="8">
        <v>0.22</v>
      </c>
      <c r="I75" s="4">
        <v>0</v>
      </c>
    </row>
    <row r="76" spans="1:9" x14ac:dyDescent="0.2">
      <c r="A76" s="2">
        <v>7</v>
      </c>
      <c r="B76" s="1" t="s">
        <v>180</v>
      </c>
      <c r="C76" s="4">
        <v>41</v>
      </c>
      <c r="D76" s="8">
        <v>2.23</v>
      </c>
      <c r="E76" s="4">
        <v>7</v>
      </c>
      <c r="F76" s="8">
        <v>0.77</v>
      </c>
      <c r="G76" s="4">
        <v>34</v>
      </c>
      <c r="H76" s="8">
        <v>3.71</v>
      </c>
      <c r="I76" s="4">
        <v>0</v>
      </c>
    </row>
    <row r="77" spans="1:9" x14ac:dyDescent="0.2">
      <c r="A77" s="2">
        <v>8</v>
      </c>
      <c r="B77" s="1" t="s">
        <v>160</v>
      </c>
      <c r="C77" s="4">
        <v>38</v>
      </c>
      <c r="D77" s="8">
        <v>2.0699999999999998</v>
      </c>
      <c r="E77" s="4">
        <v>15</v>
      </c>
      <c r="F77" s="8">
        <v>1.66</v>
      </c>
      <c r="G77" s="4">
        <v>23</v>
      </c>
      <c r="H77" s="8">
        <v>2.5099999999999998</v>
      </c>
      <c r="I77" s="4">
        <v>0</v>
      </c>
    </row>
    <row r="78" spans="1:9" x14ac:dyDescent="0.2">
      <c r="A78" s="2">
        <v>9</v>
      </c>
      <c r="B78" s="1" t="s">
        <v>161</v>
      </c>
      <c r="C78" s="4">
        <v>37</v>
      </c>
      <c r="D78" s="8">
        <v>2.0099999999999998</v>
      </c>
      <c r="E78" s="4">
        <v>28</v>
      </c>
      <c r="F78" s="8">
        <v>3.1</v>
      </c>
      <c r="G78" s="4">
        <v>9</v>
      </c>
      <c r="H78" s="8">
        <v>0.98</v>
      </c>
      <c r="I78" s="4">
        <v>0</v>
      </c>
    </row>
    <row r="79" spans="1:9" x14ac:dyDescent="0.2">
      <c r="A79" s="2">
        <v>10</v>
      </c>
      <c r="B79" s="1" t="s">
        <v>158</v>
      </c>
      <c r="C79" s="4">
        <v>36</v>
      </c>
      <c r="D79" s="8">
        <v>1.96</v>
      </c>
      <c r="E79" s="4">
        <v>25</v>
      </c>
      <c r="F79" s="8">
        <v>2.77</v>
      </c>
      <c r="G79" s="4">
        <v>11</v>
      </c>
      <c r="H79" s="8">
        <v>1.2</v>
      </c>
      <c r="I79" s="4">
        <v>0</v>
      </c>
    </row>
    <row r="80" spans="1:9" x14ac:dyDescent="0.2">
      <c r="A80" s="2">
        <v>11</v>
      </c>
      <c r="B80" s="1" t="s">
        <v>167</v>
      </c>
      <c r="C80" s="4">
        <v>35</v>
      </c>
      <c r="D80" s="8">
        <v>1.9</v>
      </c>
      <c r="E80" s="4">
        <v>33</v>
      </c>
      <c r="F80" s="8">
        <v>3.65</v>
      </c>
      <c r="G80" s="4">
        <v>2</v>
      </c>
      <c r="H80" s="8">
        <v>0.22</v>
      </c>
      <c r="I80" s="4">
        <v>0</v>
      </c>
    </row>
    <row r="81" spans="1:9" x14ac:dyDescent="0.2">
      <c r="A81" s="2">
        <v>11</v>
      </c>
      <c r="B81" s="1" t="s">
        <v>171</v>
      </c>
      <c r="C81" s="4">
        <v>35</v>
      </c>
      <c r="D81" s="8">
        <v>1.9</v>
      </c>
      <c r="E81" s="4">
        <v>29</v>
      </c>
      <c r="F81" s="8">
        <v>3.21</v>
      </c>
      <c r="G81" s="4">
        <v>5</v>
      </c>
      <c r="H81" s="8">
        <v>0.55000000000000004</v>
      </c>
      <c r="I81" s="4">
        <v>1</v>
      </c>
    </row>
    <row r="82" spans="1:9" x14ac:dyDescent="0.2">
      <c r="A82" s="2">
        <v>13</v>
      </c>
      <c r="B82" s="1" t="s">
        <v>159</v>
      </c>
      <c r="C82" s="4">
        <v>29</v>
      </c>
      <c r="D82" s="8">
        <v>1.58</v>
      </c>
      <c r="E82" s="4">
        <v>12</v>
      </c>
      <c r="F82" s="8">
        <v>1.33</v>
      </c>
      <c r="G82" s="4">
        <v>17</v>
      </c>
      <c r="H82" s="8">
        <v>1.86</v>
      </c>
      <c r="I82" s="4">
        <v>0</v>
      </c>
    </row>
    <row r="83" spans="1:9" x14ac:dyDescent="0.2">
      <c r="A83" s="2">
        <v>14</v>
      </c>
      <c r="B83" s="1" t="s">
        <v>166</v>
      </c>
      <c r="C83" s="4">
        <v>28</v>
      </c>
      <c r="D83" s="8">
        <v>1.52</v>
      </c>
      <c r="E83" s="4">
        <v>25</v>
      </c>
      <c r="F83" s="8">
        <v>2.77</v>
      </c>
      <c r="G83" s="4">
        <v>3</v>
      </c>
      <c r="H83" s="8">
        <v>0.33</v>
      </c>
      <c r="I83" s="4">
        <v>0</v>
      </c>
    </row>
    <row r="84" spans="1:9" x14ac:dyDescent="0.2">
      <c r="A84" s="2">
        <v>15</v>
      </c>
      <c r="B84" s="1" t="s">
        <v>155</v>
      </c>
      <c r="C84" s="4">
        <v>25</v>
      </c>
      <c r="D84" s="8">
        <v>1.36</v>
      </c>
      <c r="E84" s="4">
        <v>4</v>
      </c>
      <c r="F84" s="8">
        <v>0.44</v>
      </c>
      <c r="G84" s="4">
        <v>21</v>
      </c>
      <c r="H84" s="8">
        <v>2.29</v>
      </c>
      <c r="I84" s="4">
        <v>0</v>
      </c>
    </row>
    <row r="85" spans="1:9" x14ac:dyDescent="0.2">
      <c r="A85" s="2">
        <v>15</v>
      </c>
      <c r="B85" s="1" t="s">
        <v>174</v>
      </c>
      <c r="C85" s="4">
        <v>25</v>
      </c>
      <c r="D85" s="8">
        <v>1.36</v>
      </c>
      <c r="E85" s="4">
        <v>7</v>
      </c>
      <c r="F85" s="8">
        <v>0.77</v>
      </c>
      <c r="G85" s="4">
        <v>18</v>
      </c>
      <c r="H85" s="8">
        <v>1.97</v>
      </c>
      <c r="I85" s="4">
        <v>0</v>
      </c>
    </row>
    <row r="86" spans="1:9" x14ac:dyDescent="0.2">
      <c r="A86" s="2">
        <v>15</v>
      </c>
      <c r="B86" s="1" t="s">
        <v>163</v>
      </c>
      <c r="C86" s="4">
        <v>25</v>
      </c>
      <c r="D86" s="8">
        <v>1.36</v>
      </c>
      <c r="E86" s="4">
        <v>6</v>
      </c>
      <c r="F86" s="8">
        <v>0.66</v>
      </c>
      <c r="G86" s="4">
        <v>19</v>
      </c>
      <c r="H86" s="8">
        <v>2.0699999999999998</v>
      </c>
      <c r="I86" s="4">
        <v>0</v>
      </c>
    </row>
    <row r="87" spans="1:9" x14ac:dyDescent="0.2">
      <c r="A87" s="2">
        <v>18</v>
      </c>
      <c r="B87" s="1" t="s">
        <v>177</v>
      </c>
      <c r="C87" s="4">
        <v>24</v>
      </c>
      <c r="D87" s="8">
        <v>1.31</v>
      </c>
      <c r="E87" s="4">
        <v>15</v>
      </c>
      <c r="F87" s="8">
        <v>1.66</v>
      </c>
      <c r="G87" s="4">
        <v>9</v>
      </c>
      <c r="H87" s="8">
        <v>0.98</v>
      </c>
      <c r="I87" s="4">
        <v>0</v>
      </c>
    </row>
    <row r="88" spans="1:9" x14ac:dyDescent="0.2">
      <c r="A88" s="2">
        <v>19</v>
      </c>
      <c r="B88" s="1" t="s">
        <v>175</v>
      </c>
      <c r="C88" s="4">
        <v>23</v>
      </c>
      <c r="D88" s="8">
        <v>1.25</v>
      </c>
      <c r="E88" s="4">
        <v>20</v>
      </c>
      <c r="F88" s="8">
        <v>2.21</v>
      </c>
      <c r="G88" s="4">
        <v>3</v>
      </c>
      <c r="H88" s="8">
        <v>0.33</v>
      </c>
      <c r="I88" s="4">
        <v>0</v>
      </c>
    </row>
    <row r="89" spans="1:9" x14ac:dyDescent="0.2">
      <c r="A89" s="2">
        <v>20</v>
      </c>
      <c r="B89" s="1" t="s">
        <v>157</v>
      </c>
      <c r="C89" s="4">
        <v>22</v>
      </c>
      <c r="D89" s="8">
        <v>1.2</v>
      </c>
      <c r="E89" s="4">
        <v>12</v>
      </c>
      <c r="F89" s="8">
        <v>1.33</v>
      </c>
      <c r="G89" s="4">
        <v>10</v>
      </c>
      <c r="H89" s="8">
        <v>1.0900000000000001</v>
      </c>
      <c r="I89" s="4">
        <v>0</v>
      </c>
    </row>
    <row r="90" spans="1:9" x14ac:dyDescent="0.2">
      <c r="A90" s="1"/>
      <c r="C90" s="4"/>
      <c r="D90" s="8"/>
      <c r="E90" s="4"/>
      <c r="F90" s="8"/>
      <c r="G90" s="4"/>
      <c r="H90" s="8"/>
      <c r="I90" s="4"/>
    </row>
    <row r="91" spans="1:9" x14ac:dyDescent="0.2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2">
      <c r="A92" s="2">
        <v>1</v>
      </c>
      <c r="B92" s="1" t="s">
        <v>164</v>
      </c>
      <c r="C92" s="4">
        <v>119</v>
      </c>
      <c r="D92" s="8">
        <v>7.84</v>
      </c>
      <c r="E92" s="4">
        <v>82</v>
      </c>
      <c r="F92" s="8">
        <v>9.7899999999999991</v>
      </c>
      <c r="G92" s="4">
        <v>37</v>
      </c>
      <c r="H92" s="8">
        <v>5.56</v>
      </c>
      <c r="I92" s="4">
        <v>0</v>
      </c>
    </row>
    <row r="93" spans="1:9" x14ac:dyDescent="0.2">
      <c r="A93" s="2">
        <v>2</v>
      </c>
      <c r="B93" s="1" t="s">
        <v>175</v>
      </c>
      <c r="C93" s="4">
        <v>63</v>
      </c>
      <c r="D93" s="8">
        <v>4.1500000000000004</v>
      </c>
      <c r="E93" s="4">
        <v>56</v>
      </c>
      <c r="F93" s="8">
        <v>6.68</v>
      </c>
      <c r="G93" s="4">
        <v>7</v>
      </c>
      <c r="H93" s="8">
        <v>1.05</v>
      </c>
      <c r="I93" s="4">
        <v>0</v>
      </c>
    </row>
    <row r="94" spans="1:9" x14ac:dyDescent="0.2">
      <c r="A94" s="2">
        <v>3</v>
      </c>
      <c r="B94" s="1" t="s">
        <v>170</v>
      </c>
      <c r="C94" s="4">
        <v>61</v>
      </c>
      <c r="D94" s="8">
        <v>4.0199999999999996</v>
      </c>
      <c r="E94" s="4">
        <v>56</v>
      </c>
      <c r="F94" s="8">
        <v>6.68</v>
      </c>
      <c r="G94" s="4">
        <v>5</v>
      </c>
      <c r="H94" s="8">
        <v>0.75</v>
      </c>
      <c r="I94" s="4">
        <v>0</v>
      </c>
    </row>
    <row r="95" spans="1:9" x14ac:dyDescent="0.2">
      <c r="A95" s="2">
        <v>4</v>
      </c>
      <c r="B95" s="1" t="s">
        <v>169</v>
      </c>
      <c r="C95" s="4">
        <v>51</v>
      </c>
      <c r="D95" s="8">
        <v>3.36</v>
      </c>
      <c r="E95" s="4">
        <v>49</v>
      </c>
      <c r="F95" s="8">
        <v>5.85</v>
      </c>
      <c r="G95" s="4">
        <v>2</v>
      </c>
      <c r="H95" s="8">
        <v>0.3</v>
      </c>
      <c r="I95" s="4">
        <v>0</v>
      </c>
    </row>
    <row r="96" spans="1:9" x14ac:dyDescent="0.2">
      <c r="A96" s="2">
        <v>5</v>
      </c>
      <c r="B96" s="1" t="s">
        <v>168</v>
      </c>
      <c r="C96" s="4">
        <v>45</v>
      </c>
      <c r="D96" s="8">
        <v>2.96</v>
      </c>
      <c r="E96" s="4">
        <v>45</v>
      </c>
      <c r="F96" s="8">
        <v>5.37</v>
      </c>
      <c r="G96" s="4">
        <v>0</v>
      </c>
      <c r="H96" s="8">
        <v>0</v>
      </c>
      <c r="I96" s="4">
        <v>0</v>
      </c>
    </row>
    <row r="97" spans="1:9" x14ac:dyDescent="0.2">
      <c r="A97" s="2">
        <v>6</v>
      </c>
      <c r="B97" s="1" t="s">
        <v>160</v>
      </c>
      <c r="C97" s="4">
        <v>37</v>
      </c>
      <c r="D97" s="8">
        <v>2.44</v>
      </c>
      <c r="E97" s="4">
        <v>15</v>
      </c>
      <c r="F97" s="8">
        <v>1.79</v>
      </c>
      <c r="G97" s="4">
        <v>22</v>
      </c>
      <c r="H97" s="8">
        <v>3.31</v>
      </c>
      <c r="I97" s="4">
        <v>0</v>
      </c>
    </row>
    <row r="98" spans="1:9" x14ac:dyDescent="0.2">
      <c r="A98" s="2">
        <v>7</v>
      </c>
      <c r="B98" s="1" t="s">
        <v>167</v>
      </c>
      <c r="C98" s="4">
        <v>36</v>
      </c>
      <c r="D98" s="8">
        <v>2.37</v>
      </c>
      <c r="E98" s="4">
        <v>33</v>
      </c>
      <c r="F98" s="8">
        <v>3.94</v>
      </c>
      <c r="G98" s="4">
        <v>3</v>
      </c>
      <c r="H98" s="8">
        <v>0.45</v>
      </c>
      <c r="I98" s="4">
        <v>0</v>
      </c>
    </row>
    <row r="99" spans="1:9" x14ac:dyDescent="0.2">
      <c r="A99" s="2">
        <v>8</v>
      </c>
      <c r="B99" s="1" t="s">
        <v>172</v>
      </c>
      <c r="C99" s="4">
        <v>33</v>
      </c>
      <c r="D99" s="8">
        <v>2.17</v>
      </c>
      <c r="E99" s="4">
        <v>29</v>
      </c>
      <c r="F99" s="8">
        <v>3.46</v>
      </c>
      <c r="G99" s="4">
        <v>4</v>
      </c>
      <c r="H99" s="8">
        <v>0.6</v>
      </c>
      <c r="I99" s="4">
        <v>0</v>
      </c>
    </row>
    <row r="100" spans="1:9" x14ac:dyDescent="0.2">
      <c r="A100" s="2">
        <v>9</v>
      </c>
      <c r="B100" s="1" t="s">
        <v>158</v>
      </c>
      <c r="C100" s="4">
        <v>32</v>
      </c>
      <c r="D100" s="8">
        <v>2.11</v>
      </c>
      <c r="E100" s="4">
        <v>26</v>
      </c>
      <c r="F100" s="8">
        <v>3.1</v>
      </c>
      <c r="G100" s="4">
        <v>6</v>
      </c>
      <c r="H100" s="8">
        <v>0.9</v>
      </c>
      <c r="I100" s="4">
        <v>0</v>
      </c>
    </row>
    <row r="101" spans="1:9" x14ac:dyDescent="0.2">
      <c r="A101" s="2">
        <v>10</v>
      </c>
      <c r="B101" s="1" t="s">
        <v>161</v>
      </c>
      <c r="C101" s="4">
        <v>28</v>
      </c>
      <c r="D101" s="8">
        <v>1.84</v>
      </c>
      <c r="E101" s="4">
        <v>18</v>
      </c>
      <c r="F101" s="8">
        <v>2.15</v>
      </c>
      <c r="G101" s="4">
        <v>10</v>
      </c>
      <c r="H101" s="8">
        <v>1.5</v>
      </c>
      <c r="I101" s="4">
        <v>0</v>
      </c>
    </row>
    <row r="102" spans="1:9" x14ac:dyDescent="0.2">
      <c r="A102" s="2">
        <v>11</v>
      </c>
      <c r="B102" s="1" t="s">
        <v>171</v>
      </c>
      <c r="C102" s="4">
        <v>27</v>
      </c>
      <c r="D102" s="8">
        <v>1.78</v>
      </c>
      <c r="E102" s="4">
        <v>24</v>
      </c>
      <c r="F102" s="8">
        <v>2.86</v>
      </c>
      <c r="G102" s="4">
        <v>3</v>
      </c>
      <c r="H102" s="8">
        <v>0.45</v>
      </c>
      <c r="I102" s="4">
        <v>0</v>
      </c>
    </row>
    <row r="103" spans="1:9" x14ac:dyDescent="0.2">
      <c r="A103" s="2">
        <v>12</v>
      </c>
      <c r="B103" s="1" t="s">
        <v>166</v>
      </c>
      <c r="C103" s="4">
        <v>26</v>
      </c>
      <c r="D103" s="8">
        <v>1.71</v>
      </c>
      <c r="E103" s="4">
        <v>22</v>
      </c>
      <c r="F103" s="8">
        <v>2.63</v>
      </c>
      <c r="G103" s="4">
        <v>4</v>
      </c>
      <c r="H103" s="8">
        <v>0.6</v>
      </c>
      <c r="I103" s="4">
        <v>0</v>
      </c>
    </row>
    <row r="104" spans="1:9" x14ac:dyDescent="0.2">
      <c r="A104" s="2">
        <v>13</v>
      </c>
      <c r="B104" s="1" t="s">
        <v>154</v>
      </c>
      <c r="C104" s="4">
        <v>25</v>
      </c>
      <c r="D104" s="8">
        <v>1.65</v>
      </c>
      <c r="E104" s="4">
        <v>8</v>
      </c>
      <c r="F104" s="8">
        <v>0.95</v>
      </c>
      <c r="G104" s="4">
        <v>17</v>
      </c>
      <c r="H104" s="8">
        <v>2.56</v>
      </c>
      <c r="I104" s="4">
        <v>0</v>
      </c>
    </row>
    <row r="105" spans="1:9" x14ac:dyDescent="0.2">
      <c r="A105" s="2">
        <v>14</v>
      </c>
      <c r="B105" s="1" t="s">
        <v>162</v>
      </c>
      <c r="C105" s="4">
        <v>22</v>
      </c>
      <c r="D105" s="8">
        <v>1.45</v>
      </c>
      <c r="E105" s="4">
        <v>6</v>
      </c>
      <c r="F105" s="8">
        <v>0.72</v>
      </c>
      <c r="G105" s="4">
        <v>16</v>
      </c>
      <c r="H105" s="8">
        <v>2.41</v>
      </c>
      <c r="I105" s="4">
        <v>0</v>
      </c>
    </row>
    <row r="106" spans="1:9" x14ac:dyDescent="0.2">
      <c r="A106" s="2">
        <v>15</v>
      </c>
      <c r="B106" s="1" t="s">
        <v>155</v>
      </c>
      <c r="C106" s="4">
        <v>21</v>
      </c>
      <c r="D106" s="8">
        <v>1.38</v>
      </c>
      <c r="E106" s="4">
        <v>3</v>
      </c>
      <c r="F106" s="8">
        <v>0.36</v>
      </c>
      <c r="G106" s="4">
        <v>18</v>
      </c>
      <c r="H106" s="8">
        <v>2.71</v>
      </c>
      <c r="I106" s="4">
        <v>0</v>
      </c>
    </row>
    <row r="107" spans="1:9" x14ac:dyDescent="0.2">
      <c r="A107" s="2">
        <v>15</v>
      </c>
      <c r="B107" s="1" t="s">
        <v>156</v>
      </c>
      <c r="C107" s="4">
        <v>21</v>
      </c>
      <c r="D107" s="8">
        <v>1.38</v>
      </c>
      <c r="E107" s="4">
        <v>2</v>
      </c>
      <c r="F107" s="8">
        <v>0.24</v>
      </c>
      <c r="G107" s="4">
        <v>19</v>
      </c>
      <c r="H107" s="8">
        <v>2.86</v>
      </c>
      <c r="I107" s="4">
        <v>0</v>
      </c>
    </row>
    <row r="108" spans="1:9" x14ac:dyDescent="0.2">
      <c r="A108" s="2">
        <v>15</v>
      </c>
      <c r="B108" s="1" t="s">
        <v>157</v>
      </c>
      <c r="C108" s="4">
        <v>21</v>
      </c>
      <c r="D108" s="8">
        <v>1.38</v>
      </c>
      <c r="E108" s="4">
        <v>16</v>
      </c>
      <c r="F108" s="8">
        <v>1.91</v>
      </c>
      <c r="G108" s="4">
        <v>5</v>
      </c>
      <c r="H108" s="8">
        <v>0.75</v>
      </c>
      <c r="I108" s="4">
        <v>0</v>
      </c>
    </row>
    <row r="109" spans="1:9" x14ac:dyDescent="0.2">
      <c r="A109" s="2">
        <v>18</v>
      </c>
      <c r="B109" s="1" t="s">
        <v>179</v>
      </c>
      <c r="C109" s="4">
        <v>20</v>
      </c>
      <c r="D109" s="8">
        <v>1.32</v>
      </c>
      <c r="E109" s="4">
        <v>18</v>
      </c>
      <c r="F109" s="8">
        <v>2.15</v>
      </c>
      <c r="G109" s="4">
        <v>2</v>
      </c>
      <c r="H109" s="8">
        <v>0.3</v>
      </c>
      <c r="I109" s="4">
        <v>0</v>
      </c>
    </row>
    <row r="110" spans="1:9" x14ac:dyDescent="0.2">
      <c r="A110" s="2">
        <v>19</v>
      </c>
      <c r="B110" s="1" t="s">
        <v>181</v>
      </c>
      <c r="C110" s="4">
        <v>18</v>
      </c>
      <c r="D110" s="8">
        <v>1.19</v>
      </c>
      <c r="E110" s="4">
        <v>17</v>
      </c>
      <c r="F110" s="8">
        <v>2.0299999999999998</v>
      </c>
      <c r="G110" s="4">
        <v>1</v>
      </c>
      <c r="H110" s="8">
        <v>0.15</v>
      </c>
      <c r="I110" s="4">
        <v>0</v>
      </c>
    </row>
    <row r="111" spans="1:9" x14ac:dyDescent="0.2">
      <c r="A111" s="2">
        <v>20</v>
      </c>
      <c r="B111" s="1" t="s">
        <v>182</v>
      </c>
      <c r="C111" s="4">
        <v>17</v>
      </c>
      <c r="D111" s="8">
        <v>1.1200000000000001</v>
      </c>
      <c r="E111" s="4">
        <v>10</v>
      </c>
      <c r="F111" s="8">
        <v>1.19</v>
      </c>
      <c r="G111" s="4">
        <v>7</v>
      </c>
      <c r="H111" s="8">
        <v>1.05</v>
      </c>
      <c r="I111" s="4">
        <v>0</v>
      </c>
    </row>
    <row r="112" spans="1:9" x14ac:dyDescent="0.2">
      <c r="A112" s="2">
        <v>20</v>
      </c>
      <c r="B112" s="1" t="s">
        <v>183</v>
      </c>
      <c r="C112" s="4">
        <v>17</v>
      </c>
      <c r="D112" s="8">
        <v>1.1200000000000001</v>
      </c>
      <c r="E112" s="4">
        <v>17</v>
      </c>
      <c r="F112" s="8">
        <v>2.0299999999999998</v>
      </c>
      <c r="G112" s="4">
        <v>0</v>
      </c>
      <c r="H112" s="8">
        <v>0</v>
      </c>
      <c r="I112" s="4">
        <v>0</v>
      </c>
    </row>
    <row r="113" spans="1:9" x14ac:dyDescent="0.2">
      <c r="A113" s="1"/>
      <c r="C113" s="4"/>
      <c r="D113" s="8"/>
      <c r="E113" s="4"/>
      <c r="F113" s="8"/>
      <c r="G113" s="4"/>
      <c r="H113" s="8"/>
      <c r="I113" s="4"/>
    </row>
    <row r="114" spans="1:9" x14ac:dyDescent="0.2">
      <c r="A114" s="1" t="s">
        <v>5</v>
      </c>
      <c r="C114" s="4"/>
      <c r="D114" s="8"/>
      <c r="E114" s="4"/>
      <c r="F114" s="8"/>
      <c r="G114" s="4"/>
      <c r="H114" s="8"/>
      <c r="I114" s="4"/>
    </row>
    <row r="115" spans="1:9" x14ac:dyDescent="0.2">
      <c r="A115" s="2">
        <v>1</v>
      </c>
      <c r="B115" s="1" t="s">
        <v>164</v>
      </c>
      <c r="C115" s="4">
        <v>322</v>
      </c>
      <c r="D115" s="8">
        <v>5.22</v>
      </c>
      <c r="E115" s="4">
        <v>152</v>
      </c>
      <c r="F115" s="8">
        <v>5.37</v>
      </c>
      <c r="G115" s="4">
        <v>170</v>
      </c>
      <c r="H115" s="8">
        <v>5.16</v>
      </c>
      <c r="I115" s="4">
        <v>0</v>
      </c>
    </row>
    <row r="116" spans="1:9" x14ac:dyDescent="0.2">
      <c r="A116" s="2">
        <v>2</v>
      </c>
      <c r="B116" s="1" t="s">
        <v>170</v>
      </c>
      <c r="C116" s="4">
        <v>304</v>
      </c>
      <c r="D116" s="8">
        <v>4.93</v>
      </c>
      <c r="E116" s="4">
        <v>244</v>
      </c>
      <c r="F116" s="8">
        <v>8.6199999999999992</v>
      </c>
      <c r="G116" s="4">
        <v>60</v>
      </c>
      <c r="H116" s="8">
        <v>1.82</v>
      </c>
      <c r="I116" s="4">
        <v>0</v>
      </c>
    </row>
    <row r="117" spans="1:9" x14ac:dyDescent="0.2">
      <c r="A117" s="2">
        <v>3</v>
      </c>
      <c r="B117" s="1" t="s">
        <v>168</v>
      </c>
      <c r="C117" s="4">
        <v>244</v>
      </c>
      <c r="D117" s="8">
        <v>3.96</v>
      </c>
      <c r="E117" s="4">
        <v>234</v>
      </c>
      <c r="F117" s="8">
        <v>8.27</v>
      </c>
      <c r="G117" s="4">
        <v>10</v>
      </c>
      <c r="H117" s="8">
        <v>0.3</v>
      </c>
      <c r="I117" s="4">
        <v>0</v>
      </c>
    </row>
    <row r="118" spans="1:9" x14ac:dyDescent="0.2">
      <c r="A118" s="2">
        <v>4</v>
      </c>
      <c r="B118" s="1" t="s">
        <v>166</v>
      </c>
      <c r="C118" s="4">
        <v>242</v>
      </c>
      <c r="D118" s="8">
        <v>3.92</v>
      </c>
      <c r="E118" s="4">
        <v>187</v>
      </c>
      <c r="F118" s="8">
        <v>6.61</v>
      </c>
      <c r="G118" s="4">
        <v>55</v>
      </c>
      <c r="H118" s="8">
        <v>1.67</v>
      </c>
      <c r="I118" s="4">
        <v>0</v>
      </c>
    </row>
    <row r="119" spans="1:9" x14ac:dyDescent="0.2">
      <c r="A119" s="2">
        <v>5</v>
      </c>
      <c r="B119" s="1" t="s">
        <v>167</v>
      </c>
      <c r="C119" s="4">
        <v>221</v>
      </c>
      <c r="D119" s="8">
        <v>3.58</v>
      </c>
      <c r="E119" s="4">
        <v>195</v>
      </c>
      <c r="F119" s="8">
        <v>6.89</v>
      </c>
      <c r="G119" s="4">
        <v>26</v>
      </c>
      <c r="H119" s="8">
        <v>0.79</v>
      </c>
      <c r="I119" s="4">
        <v>0</v>
      </c>
    </row>
    <row r="120" spans="1:9" x14ac:dyDescent="0.2">
      <c r="A120" s="2">
        <v>6</v>
      </c>
      <c r="B120" s="1" t="s">
        <v>161</v>
      </c>
      <c r="C120" s="4">
        <v>165</v>
      </c>
      <c r="D120" s="8">
        <v>2.68</v>
      </c>
      <c r="E120" s="4">
        <v>102</v>
      </c>
      <c r="F120" s="8">
        <v>3.6</v>
      </c>
      <c r="G120" s="4">
        <v>63</v>
      </c>
      <c r="H120" s="8">
        <v>1.91</v>
      </c>
      <c r="I120" s="4">
        <v>0</v>
      </c>
    </row>
    <row r="121" spans="1:9" x14ac:dyDescent="0.2">
      <c r="A121" s="2">
        <v>7</v>
      </c>
      <c r="B121" s="1" t="s">
        <v>158</v>
      </c>
      <c r="C121" s="4">
        <v>139</v>
      </c>
      <c r="D121" s="8">
        <v>2.25</v>
      </c>
      <c r="E121" s="4">
        <v>82</v>
      </c>
      <c r="F121" s="8">
        <v>2.9</v>
      </c>
      <c r="G121" s="4">
        <v>57</v>
      </c>
      <c r="H121" s="8">
        <v>1.73</v>
      </c>
      <c r="I121" s="4">
        <v>0</v>
      </c>
    </row>
    <row r="122" spans="1:9" x14ac:dyDescent="0.2">
      <c r="A122" s="2">
        <v>8</v>
      </c>
      <c r="B122" s="1" t="s">
        <v>160</v>
      </c>
      <c r="C122" s="4">
        <v>137</v>
      </c>
      <c r="D122" s="8">
        <v>2.2200000000000002</v>
      </c>
      <c r="E122" s="4">
        <v>35</v>
      </c>
      <c r="F122" s="8">
        <v>1.24</v>
      </c>
      <c r="G122" s="4">
        <v>102</v>
      </c>
      <c r="H122" s="8">
        <v>3.09</v>
      </c>
      <c r="I122" s="4">
        <v>0</v>
      </c>
    </row>
    <row r="123" spans="1:9" x14ac:dyDescent="0.2">
      <c r="A123" s="2">
        <v>9</v>
      </c>
      <c r="B123" s="1" t="s">
        <v>163</v>
      </c>
      <c r="C123" s="4">
        <v>125</v>
      </c>
      <c r="D123" s="8">
        <v>2.0299999999999998</v>
      </c>
      <c r="E123" s="4">
        <v>24</v>
      </c>
      <c r="F123" s="8">
        <v>0.85</v>
      </c>
      <c r="G123" s="4">
        <v>101</v>
      </c>
      <c r="H123" s="8">
        <v>3.06</v>
      </c>
      <c r="I123" s="4">
        <v>0</v>
      </c>
    </row>
    <row r="124" spans="1:9" x14ac:dyDescent="0.2">
      <c r="A124" s="2">
        <v>10</v>
      </c>
      <c r="B124" s="1" t="s">
        <v>169</v>
      </c>
      <c r="C124" s="4">
        <v>124</v>
      </c>
      <c r="D124" s="8">
        <v>2.0099999999999998</v>
      </c>
      <c r="E124" s="4">
        <v>120</v>
      </c>
      <c r="F124" s="8">
        <v>4.24</v>
      </c>
      <c r="G124" s="4">
        <v>4</v>
      </c>
      <c r="H124" s="8">
        <v>0.12</v>
      </c>
      <c r="I124" s="4">
        <v>0</v>
      </c>
    </row>
    <row r="125" spans="1:9" x14ac:dyDescent="0.2">
      <c r="A125" s="2">
        <v>11</v>
      </c>
      <c r="B125" s="1" t="s">
        <v>157</v>
      </c>
      <c r="C125" s="4">
        <v>123</v>
      </c>
      <c r="D125" s="8">
        <v>1.99</v>
      </c>
      <c r="E125" s="4">
        <v>55</v>
      </c>
      <c r="F125" s="8">
        <v>1.94</v>
      </c>
      <c r="G125" s="4">
        <v>68</v>
      </c>
      <c r="H125" s="8">
        <v>2.06</v>
      </c>
      <c r="I125" s="4">
        <v>0</v>
      </c>
    </row>
    <row r="126" spans="1:9" x14ac:dyDescent="0.2">
      <c r="A126" s="2">
        <v>12</v>
      </c>
      <c r="B126" s="1" t="s">
        <v>172</v>
      </c>
      <c r="C126" s="4">
        <v>115</v>
      </c>
      <c r="D126" s="8">
        <v>1.87</v>
      </c>
      <c r="E126" s="4">
        <v>102</v>
      </c>
      <c r="F126" s="8">
        <v>3.6</v>
      </c>
      <c r="G126" s="4">
        <v>13</v>
      </c>
      <c r="H126" s="8">
        <v>0.39</v>
      </c>
      <c r="I126" s="4">
        <v>0</v>
      </c>
    </row>
    <row r="127" spans="1:9" x14ac:dyDescent="0.2">
      <c r="A127" s="2">
        <v>13</v>
      </c>
      <c r="B127" s="1" t="s">
        <v>175</v>
      </c>
      <c r="C127" s="4">
        <v>87</v>
      </c>
      <c r="D127" s="8">
        <v>1.41</v>
      </c>
      <c r="E127" s="4">
        <v>61</v>
      </c>
      <c r="F127" s="8">
        <v>2.15</v>
      </c>
      <c r="G127" s="4">
        <v>26</v>
      </c>
      <c r="H127" s="8">
        <v>0.79</v>
      </c>
      <c r="I127" s="4">
        <v>0</v>
      </c>
    </row>
    <row r="128" spans="1:9" x14ac:dyDescent="0.2">
      <c r="A128" s="2">
        <v>14</v>
      </c>
      <c r="B128" s="1" t="s">
        <v>155</v>
      </c>
      <c r="C128" s="4">
        <v>83</v>
      </c>
      <c r="D128" s="8">
        <v>1.35</v>
      </c>
      <c r="E128" s="4">
        <v>2</v>
      </c>
      <c r="F128" s="8">
        <v>7.0000000000000007E-2</v>
      </c>
      <c r="G128" s="4">
        <v>81</v>
      </c>
      <c r="H128" s="8">
        <v>2.46</v>
      </c>
      <c r="I128" s="4">
        <v>0</v>
      </c>
    </row>
    <row r="129" spans="1:9" x14ac:dyDescent="0.2">
      <c r="A129" s="2">
        <v>15</v>
      </c>
      <c r="B129" s="1" t="s">
        <v>171</v>
      </c>
      <c r="C129" s="4">
        <v>82</v>
      </c>
      <c r="D129" s="8">
        <v>1.33</v>
      </c>
      <c r="E129" s="4">
        <v>58</v>
      </c>
      <c r="F129" s="8">
        <v>2.0499999999999998</v>
      </c>
      <c r="G129" s="4">
        <v>24</v>
      </c>
      <c r="H129" s="8">
        <v>0.73</v>
      </c>
      <c r="I129" s="4">
        <v>0</v>
      </c>
    </row>
    <row r="130" spans="1:9" x14ac:dyDescent="0.2">
      <c r="A130" s="2">
        <v>16</v>
      </c>
      <c r="B130" s="1" t="s">
        <v>162</v>
      </c>
      <c r="C130" s="4">
        <v>80</v>
      </c>
      <c r="D130" s="8">
        <v>1.3</v>
      </c>
      <c r="E130" s="4">
        <v>10</v>
      </c>
      <c r="F130" s="8">
        <v>0.35</v>
      </c>
      <c r="G130" s="4">
        <v>70</v>
      </c>
      <c r="H130" s="8">
        <v>2.12</v>
      </c>
      <c r="I130" s="4">
        <v>0</v>
      </c>
    </row>
    <row r="131" spans="1:9" x14ac:dyDescent="0.2">
      <c r="A131" s="2">
        <v>17</v>
      </c>
      <c r="B131" s="1" t="s">
        <v>184</v>
      </c>
      <c r="C131" s="4">
        <v>79</v>
      </c>
      <c r="D131" s="8">
        <v>1.28</v>
      </c>
      <c r="E131" s="4">
        <v>4</v>
      </c>
      <c r="F131" s="8">
        <v>0.14000000000000001</v>
      </c>
      <c r="G131" s="4">
        <v>75</v>
      </c>
      <c r="H131" s="8">
        <v>2.2799999999999998</v>
      </c>
      <c r="I131" s="4">
        <v>0</v>
      </c>
    </row>
    <row r="132" spans="1:9" x14ac:dyDescent="0.2">
      <c r="A132" s="2">
        <v>18</v>
      </c>
      <c r="B132" s="1" t="s">
        <v>179</v>
      </c>
      <c r="C132" s="4">
        <v>76</v>
      </c>
      <c r="D132" s="8">
        <v>1.23</v>
      </c>
      <c r="E132" s="4">
        <v>65</v>
      </c>
      <c r="F132" s="8">
        <v>2.2999999999999998</v>
      </c>
      <c r="G132" s="4">
        <v>11</v>
      </c>
      <c r="H132" s="8">
        <v>0.33</v>
      </c>
      <c r="I132" s="4">
        <v>0</v>
      </c>
    </row>
    <row r="133" spans="1:9" x14ac:dyDescent="0.2">
      <c r="A133" s="2">
        <v>18</v>
      </c>
      <c r="B133" s="1" t="s">
        <v>183</v>
      </c>
      <c r="C133" s="4">
        <v>76</v>
      </c>
      <c r="D133" s="8">
        <v>1.23</v>
      </c>
      <c r="E133" s="4">
        <v>70</v>
      </c>
      <c r="F133" s="8">
        <v>2.4700000000000002</v>
      </c>
      <c r="G133" s="4">
        <v>6</v>
      </c>
      <c r="H133" s="8">
        <v>0.18</v>
      </c>
      <c r="I133" s="4">
        <v>0</v>
      </c>
    </row>
    <row r="134" spans="1:9" x14ac:dyDescent="0.2">
      <c r="A134" s="2">
        <v>20</v>
      </c>
      <c r="B134" s="1" t="s">
        <v>185</v>
      </c>
      <c r="C134" s="4">
        <v>73</v>
      </c>
      <c r="D134" s="8">
        <v>1.18</v>
      </c>
      <c r="E134" s="4">
        <v>6</v>
      </c>
      <c r="F134" s="8">
        <v>0.21</v>
      </c>
      <c r="G134" s="4">
        <v>67</v>
      </c>
      <c r="H134" s="8">
        <v>2.0299999999999998</v>
      </c>
      <c r="I134" s="4">
        <v>0</v>
      </c>
    </row>
    <row r="135" spans="1:9" x14ac:dyDescent="0.2">
      <c r="A135" s="2">
        <v>20</v>
      </c>
      <c r="B135" s="1" t="s">
        <v>165</v>
      </c>
      <c r="C135" s="4">
        <v>73</v>
      </c>
      <c r="D135" s="8">
        <v>1.18</v>
      </c>
      <c r="E135" s="4">
        <v>18</v>
      </c>
      <c r="F135" s="8">
        <v>0.64</v>
      </c>
      <c r="G135" s="4">
        <v>55</v>
      </c>
      <c r="H135" s="8">
        <v>1.67</v>
      </c>
      <c r="I135" s="4">
        <v>0</v>
      </c>
    </row>
    <row r="136" spans="1:9" x14ac:dyDescent="0.2">
      <c r="A136" s="1"/>
      <c r="C136" s="4"/>
      <c r="D136" s="8"/>
      <c r="E136" s="4"/>
      <c r="F136" s="8"/>
      <c r="G136" s="4"/>
      <c r="H136" s="8"/>
      <c r="I136" s="4"/>
    </row>
    <row r="137" spans="1:9" x14ac:dyDescent="0.2">
      <c r="A137" s="1" t="s">
        <v>6</v>
      </c>
      <c r="C137" s="4"/>
      <c r="D137" s="8"/>
      <c r="E137" s="4"/>
      <c r="F137" s="8"/>
      <c r="G137" s="4"/>
      <c r="H137" s="8"/>
      <c r="I137" s="4"/>
    </row>
    <row r="138" spans="1:9" x14ac:dyDescent="0.2">
      <c r="A138" s="2">
        <v>1</v>
      </c>
      <c r="B138" s="1" t="s">
        <v>164</v>
      </c>
      <c r="C138" s="4">
        <v>209</v>
      </c>
      <c r="D138" s="8">
        <v>5.78</v>
      </c>
      <c r="E138" s="4">
        <v>132</v>
      </c>
      <c r="F138" s="8">
        <v>8.23</v>
      </c>
      <c r="G138" s="4">
        <v>77</v>
      </c>
      <c r="H138" s="8">
        <v>3.89</v>
      </c>
      <c r="I138" s="4">
        <v>0</v>
      </c>
    </row>
    <row r="139" spans="1:9" x14ac:dyDescent="0.2">
      <c r="A139" s="2">
        <v>2</v>
      </c>
      <c r="B139" s="1" t="s">
        <v>170</v>
      </c>
      <c r="C139" s="4">
        <v>200</v>
      </c>
      <c r="D139" s="8">
        <v>5.53</v>
      </c>
      <c r="E139" s="4">
        <v>170</v>
      </c>
      <c r="F139" s="8">
        <v>10.61</v>
      </c>
      <c r="G139" s="4">
        <v>30</v>
      </c>
      <c r="H139" s="8">
        <v>1.52</v>
      </c>
      <c r="I139" s="4">
        <v>0</v>
      </c>
    </row>
    <row r="140" spans="1:9" x14ac:dyDescent="0.2">
      <c r="A140" s="2">
        <v>3</v>
      </c>
      <c r="B140" s="1" t="s">
        <v>154</v>
      </c>
      <c r="C140" s="4">
        <v>106</v>
      </c>
      <c r="D140" s="8">
        <v>2.93</v>
      </c>
      <c r="E140" s="4">
        <v>15</v>
      </c>
      <c r="F140" s="8">
        <v>0.94</v>
      </c>
      <c r="G140" s="4">
        <v>91</v>
      </c>
      <c r="H140" s="8">
        <v>4.5999999999999996</v>
      </c>
      <c r="I140" s="4">
        <v>0</v>
      </c>
    </row>
    <row r="141" spans="1:9" x14ac:dyDescent="0.2">
      <c r="A141" s="2">
        <v>4</v>
      </c>
      <c r="B141" s="1" t="s">
        <v>169</v>
      </c>
      <c r="C141" s="4">
        <v>102</v>
      </c>
      <c r="D141" s="8">
        <v>2.82</v>
      </c>
      <c r="E141" s="4">
        <v>98</v>
      </c>
      <c r="F141" s="8">
        <v>6.11</v>
      </c>
      <c r="G141" s="4">
        <v>4</v>
      </c>
      <c r="H141" s="8">
        <v>0.2</v>
      </c>
      <c r="I141" s="4">
        <v>0</v>
      </c>
    </row>
    <row r="142" spans="1:9" x14ac:dyDescent="0.2">
      <c r="A142" s="2">
        <v>5</v>
      </c>
      <c r="B142" s="1" t="s">
        <v>172</v>
      </c>
      <c r="C142" s="4">
        <v>98</v>
      </c>
      <c r="D142" s="8">
        <v>2.71</v>
      </c>
      <c r="E142" s="4">
        <v>84</v>
      </c>
      <c r="F142" s="8">
        <v>5.24</v>
      </c>
      <c r="G142" s="4">
        <v>14</v>
      </c>
      <c r="H142" s="8">
        <v>0.71</v>
      </c>
      <c r="I142" s="4">
        <v>0</v>
      </c>
    </row>
    <row r="143" spans="1:9" x14ac:dyDescent="0.2">
      <c r="A143" s="2">
        <v>6</v>
      </c>
      <c r="B143" s="1" t="s">
        <v>159</v>
      </c>
      <c r="C143" s="4">
        <v>87</v>
      </c>
      <c r="D143" s="8">
        <v>2.41</v>
      </c>
      <c r="E143" s="4">
        <v>45</v>
      </c>
      <c r="F143" s="8">
        <v>2.81</v>
      </c>
      <c r="G143" s="4">
        <v>42</v>
      </c>
      <c r="H143" s="8">
        <v>2.12</v>
      </c>
      <c r="I143" s="4">
        <v>0</v>
      </c>
    </row>
    <row r="144" spans="1:9" x14ac:dyDescent="0.2">
      <c r="A144" s="2">
        <v>7</v>
      </c>
      <c r="B144" s="1" t="s">
        <v>155</v>
      </c>
      <c r="C144" s="4">
        <v>85</v>
      </c>
      <c r="D144" s="8">
        <v>2.35</v>
      </c>
      <c r="E144" s="4">
        <v>12</v>
      </c>
      <c r="F144" s="8">
        <v>0.75</v>
      </c>
      <c r="G144" s="4">
        <v>73</v>
      </c>
      <c r="H144" s="8">
        <v>3.69</v>
      </c>
      <c r="I144" s="4">
        <v>0</v>
      </c>
    </row>
    <row r="145" spans="1:9" x14ac:dyDescent="0.2">
      <c r="A145" s="2">
        <v>8</v>
      </c>
      <c r="B145" s="1" t="s">
        <v>174</v>
      </c>
      <c r="C145" s="4">
        <v>84</v>
      </c>
      <c r="D145" s="8">
        <v>2.3199999999999998</v>
      </c>
      <c r="E145" s="4">
        <v>20</v>
      </c>
      <c r="F145" s="8">
        <v>1.25</v>
      </c>
      <c r="G145" s="4">
        <v>64</v>
      </c>
      <c r="H145" s="8">
        <v>3.24</v>
      </c>
      <c r="I145" s="4">
        <v>0</v>
      </c>
    </row>
    <row r="146" spans="1:9" x14ac:dyDescent="0.2">
      <c r="A146" s="2">
        <v>8</v>
      </c>
      <c r="B146" s="1" t="s">
        <v>160</v>
      </c>
      <c r="C146" s="4">
        <v>84</v>
      </c>
      <c r="D146" s="8">
        <v>2.3199999999999998</v>
      </c>
      <c r="E146" s="4">
        <v>22</v>
      </c>
      <c r="F146" s="8">
        <v>1.37</v>
      </c>
      <c r="G146" s="4">
        <v>62</v>
      </c>
      <c r="H146" s="8">
        <v>3.14</v>
      </c>
      <c r="I146" s="4">
        <v>0</v>
      </c>
    </row>
    <row r="147" spans="1:9" x14ac:dyDescent="0.2">
      <c r="A147" s="2">
        <v>10</v>
      </c>
      <c r="B147" s="1" t="s">
        <v>171</v>
      </c>
      <c r="C147" s="4">
        <v>81</v>
      </c>
      <c r="D147" s="8">
        <v>2.2400000000000002</v>
      </c>
      <c r="E147" s="4">
        <v>66</v>
      </c>
      <c r="F147" s="8">
        <v>4.12</v>
      </c>
      <c r="G147" s="4">
        <v>15</v>
      </c>
      <c r="H147" s="8">
        <v>0.76</v>
      </c>
      <c r="I147" s="4">
        <v>0</v>
      </c>
    </row>
    <row r="148" spans="1:9" x14ac:dyDescent="0.2">
      <c r="A148" s="2">
        <v>11</v>
      </c>
      <c r="B148" s="1" t="s">
        <v>156</v>
      </c>
      <c r="C148" s="4">
        <v>79</v>
      </c>
      <c r="D148" s="8">
        <v>2.19</v>
      </c>
      <c r="E148" s="4">
        <v>14</v>
      </c>
      <c r="F148" s="8">
        <v>0.87</v>
      </c>
      <c r="G148" s="4">
        <v>65</v>
      </c>
      <c r="H148" s="8">
        <v>3.29</v>
      </c>
      <c r="I148" s="4">
        <v>0</v>
      </c>
    </row>
    <row r="149" spans="1:9" x14ac:dyDescent="0.2">
      <c r="A149" s="2">
        <v>12</v>
      </c>
      <c r="B149" s="1" t="s">
        <v>158</v>
      </c>
      <c r="C149" s="4">
        <v>72</v>
      </c>
      <c r="D149" s="8">
        <v>1.99</v>
      </c>
      <c r="E149" s="4">
        <v>46</v>
      </c>
      <c r="F149" s="8">
        <v>2.87</v>
      </c>
      <c r="G149" s="4">
        <v>26</v>
      </c>
      <c r="H149" s="8">
        <v>1.32</v>
      </c>
      <c r="I149" s="4">
        <v>0</v>
      </c>
    </row>
    <row r="150" spans="1:9" x14ac:dyDescent="0.2">
      <c r="A150" s="2">
        <v>13</v>
      </c>
      <c r="B150" s="1" t="s">
        <v>173</v>
      </c>
      <c r="C150" s="4">
        <v>59</v>
      </c>
      <c r="D150" s="8">
        <v>1.63</v>
      </c>
      <c r="E150" s="4">
        <v>41</v>
      </c>
      <c r="F150" s="8">
        <v>2.56</v>
      </c>
      <c r="G150" s="4">
        <v>18</v>
      </c>
      <c r="H150" s="8">
        <v>0.91</v>
      </c>
      <c r="I150" s="4">
        <v>0</v>
      </c>
    </row>
    <row r="151" spans="1:9" x14ac:dyDescent="0.2">
      <c r="A151" s="2">
        <v>14</v>
      </c>
      <c r="B151" s="1" t="s">
        <v>161</v>
      </c>
      <c r="C151" s="4">
        <v>55</v>
      </c>
      <c r="D151" s="8">
        <v>1.52</v>
      </c>
      <c r="E151" s="4">
        <v>35</v>
      </c>
      <c r="F151" s="8">
        <v>2.1800000000000002</v>
      </c>
      <c r="G151" s="4">
        <v>20</v>
      </c>
      <c r="H151" s="8">
        <v>1.01</v>
      </c>
      <c r="I151" s="4">
        <v>0</v>
      </c>
    </row>
    <row r="152" spans="1:9" x14ac:dyDescent="0.2">
      <c r="A152" s="2">
        <v>14</v>
      </c>
      <c r="B152" s="1" t="s">
        <v>163</v>
      </c>
      <c r="C152" s="4">
        <v>55</v>
      </c>
      <c r="D152" s="8">
        <v>1.52</v>
      </c>
      <c r="E152" s="4">
        <v>6</v>
      </c>
      <c r="F152" s="8">
        <v>0.37</v>
      </c>
      <c r="G152" s="4">
        <v>49</v>
      </c>
      <c r="H152" s="8">
        <v>2.48</v>
      </c>
      <c r="I152" s="4">
        <v>0</v>
      </c>
    </row>
    <row r="153" spans="1:9" x14ac:dyDescent="0.2">
      <c r="A153" s="2">
        <v>16</v>
      </c>
      <c r="B153" s="1" t="s">
        <v>162</v>
      </c>
      <c r="C153" s="4">
        <v>52</v>
      </c>
      <c r="D153" s="8">
        <v>1.44</v>
      </c>
      <c r="E153" s="4">
        <v>11</v>
      </c>
      <c r="F153" s="8">
        <v>0.69</v>
      </c>
      <c r="G153" s="4">
        <v>41</v>
      </c>
      <c r="H153" s="8">
        <v>2.0699999999999998</v>
      </c>
      <c r="I153" s="4">
        <v>0</v>
      </c>
    </row>
    <row r="154" spans="1:9" x14ac:dyDescent="0.2">
      <c r="A154" s="2">
        <v>17</v>
      </c>
      <c r="B154" s="1" t="s">
        <v>187</v>
      </c>
      <c r="C154" s="4">
        <v>50</v>
      </c>
      <c r="D154" s="8">
        <v>1.38</v>
      </c>
      <c r="E154" s="4">
        <v>14</v>
      </c>
      <c r="F154" s="8">
        <v>0.87</v>
      </c>
      <c r="G154" s="4">
        <v>36</v>
      </c>
      <c r="H154" s="8">
        <v>1.82</v>
      </c>
      <c r="I154" s="4">
        <v>0</v>
      </c>
    </row>
    <row r="155" spans="1:9" x14ac:dyDescent="0.2">
      <c r="A155" s="2">
        <v>18</v>
      </c>
      <c r="B155" s="1" t="s">
        <v>184</v>
      </c>
      <c r="C155" s="4">
        <v>49</v>
      </c>
      <c r="D155" s="8">
        <v>1.36</v>
      </c>
      <c r="E155" s="4">
        <v>3</v>
      </c>
      <c r="F155" s="8">
        <v>0.19</v>
      </c>
      <c r="G155" s="4">
        <v>46</v>
      </c>
      <c r="H155" s="8">
        <v>2.33</v>
      </c>
      <c r="I155" s="4">
        <v>0</v>
      </c>
    </row>
    <row r="156" spans="1:9" x14ac:dyDescent="0.2">
      <c r="A156" s="2">
        <v>19</v>
      </c>
      <c r="B156" s="1" t="s">
        <v>167</v>
      </c>
      <c r="C156" s="4">
        <v>48</v>
      </c>
      <c r="D156" s="8">
        <v>1.33</v>
      </c>
      <c r="E156" s="4">
        <v>42</v>
      </c>
      <c r="F156" s="8">
        <v>2.62</v>
      </c>
      <c r="G156" s="4">
        <v>6</v>
      </c>
      <c r="H156" s="8">
        <v>0.3</v>
      </c>
      <c r="I156" s="4">
        <v>0</v>
      </c>
    </row>
    <row r="157" spans="1:9" x14ac:dyDescent="0.2">
      <c r="A157" s="2">
        <v>20</v>
      </c>
      <c r="B157" s="1" t="s">
        <v>186</v>
      </c>
      <c r="C157" s="4">
        <v>47</v>
      </c>
      <c r="D157" s="8">
        <v>1.3</v>
      </c>
      <c r="E157" s="4">
        <v>15</v>
      </c>
      <c r="F157" s="8">
        <v>0.94</v>
      </c>
      <c r="G157" s="4">
        <v>32</v>
      </c>
      <c r="H157" s="8">
        <v>1.62</v>
      </c>
      <c r="I157" s="4">
        <v>0</v>
      </c>
    </row>
    <row r="158" spans="1:9" x14ac:dyDescent="0.2">
      <c r="A158" s="1"/>
      <c r="C158" s="4"/>
      <c r="D158" s="8"/>
      <c r="E158" s="4"/>
      <c r="F158" s="8"/>
      <c r="G158" s="4"/>
      <c r="H158" s="8"/>
      <c r="I158" s="4"/>
    </row>
    <row r="159" spans="1:9" x14ac:dyDescent="0.2">
      <c r="A159" s="1" t="s">
        <v>7</v>
      </c>
      <c r="C159" s="4"/>
      <c r="D159" s="8"/>
      <c r="E159" s="4"/>
      <c r="F159" s="8"/>
      <c r="G159" s="4"/>
      <c r="H159" s="8"/>
      <c r="I159" s="4"/>
    </row>
    <row r="160" spans="1:9" x14ac:dyDescent="0.2">
      <c r="A160" s="2">
        <v>1</v>
      </c>
      <c r="B160" s="1" t="s">
        <v>164</v>
      </c>
      <c r="C160" s="4">
        <v>79</v>
      </c>
      <c r="D160" s="8">
        <v>4.66</v>
      </c>
      <c r="E160" s="4">
        <v>44</v>
      </c>
      <c r="F160" s="8">
        <v>4.6500000000000004</v>
      </c>
      <c r="G160" s="4">
        <v>35</v>
      </c>
      <c r="H160" s="8">
        <v>4.79</v>
      </c>
      <c r="I160" s="4">
        <v>0</v>
      </c>
    </row>
    <row r="161" spans="1:9" x14ac:dyDescent="0.2">
      <c r="A161" s="2">
        <v>1</v>
      </c>
      <c r="B161" s="1" t="s">
        <v>170</v>
      </c>
      <c r="C161" s="4">
        <v>79</v>
      </c>
      <c r="D161" s="8">
        <v>4.66</v>
      </c>
      <c r="E161" s="4">
        <v>73</v>
      </c>
      <c r="F161" s="8">
        <v>7.71</v>
      </c>
      <c r="G161" s="4">
        <v>6</v>
      </c>
      <c r="H161" s="8">
        <v>0.82</v>
      </c>
      <c r="I161" s="4">
        <v>0</v>
      </c>
    </row>
    <row r="162" spans="1:9" x14ac:dyDescent="0.2">
      <c r="A162" s="2">
        <v>3</v>
      </c>
      <c r="B162" s="1" t="s">
        <v>175</v>
      </c>
      <c r="C162" s="4">
        <v>72</v>
      </c>
      <c r="D162" s="8">
        <v>4.25</v>
      </c>
      <c r="E162" s="4">
        <v>64</v>
      </c>
      <c r="F162" s="8">
        <v>6.76</v>
      </c>
      <c r="G162" s="4">
        <v>8</v>
      </c>
      <c r="H162" s="8">
        <v>1.0900000000000001</v>
      </c>
      <c r="I162" s="4">
        <v>0</v>
      </c>
    </row>
    <row r="163" spans="1:9" x14ac:dyDescent="0.2">
      <c r="A163" s="2">
        <v>4</v>
      </c>
      <c r="B163" s="1" t="s">
        <v>169</v>
      </c>
      <c r="C163" s="4">
        <v>52</v>
      </c>
      <c r="D163" s="8">
        <v>3.07</v>
      </c>
      <c r="E163" s="4">
        <v>51</v>
      </c>
      <c r="F163" s="8">
        <v>5.39</v>
      </c>
      <c r="G163" s="4">
        <v>1</v>
      </c>
      <c r="H163" s="8">
        <v>0.14000000000000001</v>
      </c>
      <c r="I163" s="4">
        <v>0</v>
      </c>
    </row>
    <row r="164" spans="1:9" x14ac:dyDescent="0.2">
      <c r="A164" s="2">
        <v>5</v>
      </c>
      <c r="B164" s="1" t="s">
        <v>167</v>
      </c>
      <c r="C164" s="4">
        <v>48</v>
      </c>
      <c r="D164" s="8">
        <v>2.83</v>
      </c>
      <c r="E164" s="4">
        <v>45</v>
      </c>
      <c r="F164" s="8">
        <v>4.75</v>
      </c>
      <c r="G164" s="4">
        <v>3</v>
      </c>
      <c r="H164" s="8">
        <v>0.41</v>
      </c>
      <c r="I164" s="4">
        <v>0</v>
      </c>
    </row>
    <row r="165" spans="1:9" x14ac:dyDescent="0.2">
      <c r="A165" s="2">
        <v>6</v>
      </c>
      <c r="B165" s="1" t="s">
        <v>158</v>
      </c>
      <c r="C165" s="4">
        <v>46</v>
      </c>
      <c r="D165" s="8">
        <v>2.71</v>
      </c>
      <c r="E165" s="4">
        <v>38</v>
      </c>
      <c r="F165" s="8">
        <v>4.01</v>
      </c>
      <c r="G165" s="4">
        <v>8</v>
      </c>
      <c r="H165" s="8">
        <v>1.0900000000000001</v>
      </c>
      <c r="I165" s="4">
        <v>0</v>
      </c>
    </row>
    <row r="166" spans="1:9" x14ac:dyDescent="0.2">
      <c r="A166" s="2">
        <v>7</v>
      </c>
      <c r="B166" s="1" t="s">
        <v>166</v>
      </c>
      <c r="C166" s="4">
        <v>41</v>
      </c>
      <c r="D166" s="8">
        <v>2.42</v>
      </c>
      <c r="E166" s="4">
        <v>37</v>
      </c>
      <c r="F166" s="8">
        <v>3.91</v>
      </c>
      <c r="G166" s="4">
        <v>4</v>
      </c>
      <c r="H166" s="8">
        <v>0.55000000000000004</v>
      </c>
      <c r="I166" s="4">
        <v>0</v>
      </c>
    </row>
    <row r="167" spans="1:9" x14ac:dyDescent="0.2">
      <c r="A167" s="2">
        <v>8</v>
      </c>
      <c r="B167" s="1" t="s">
        <v>171</v>
      </c>
      <c r="C167" s="4">
        <v>39</v>
      </c>
      <c r="D167" s="8">
        <v>2.2999999999999998</v>
      </c>
      <c r="E167" s="4">
        <v>35</v>
      </c>
      <c r="F167" s="8">
        <v>3.7</v>
      </c>
      <c r="G167" s="4">
        <v>4</v>
      </c>
      <c r="H167" s="8">
        <v>0.55000000000000004</v>
      </c>
      <c r="I167" s="4">
        <v>0</v>
      </c>
    </row>
    <row r="168" spans="1:9" x14ac:dyDescent="0.2">
      <c r="A168" s="2">
        <v>9</v>
      </c>
      <c r="B168" s="1" t="s">
        <v>160</v>
      </c>
      <c r="C168" s="4">
        <v>38</v>
      </c>
      <c r="D168" s="8">
        <v>2.2400000000000002</v>
      </c>
      <c r="E168" s="4">
        <v>18</v>
      </c>
      <c r="F168" s="8">
        <v>1.9</v>
      </c>
      <c r="G168" s="4">
        <v>20</v>
      </c>
      <c r="H168" s="8">
        <v>2.74</v>
      </c>
      <c r="I168" s="4">
        <v>0</v>
      </c>
    </row>
    <row r="169" spans="1:9" x14ac:dyDescent="0.2">
      <c r="A169" s="2">
        <v>9</v>
      </c>
      <c r="B169" s="1" t="s">
        <v>168</v>
      </c>
      <c r="C169" s="4">
        <v>38</v>
      </c>
      <c r="D169" s="8">
        <v>2.2400000000000002</v>
      </c>
      <c r="E169" s="4">
        <v>38</v>
      </c>
      <c r="F169" s="8">
        <v>4.01</v>
      </c>
      <c r="G169" s="4">
        <v>0</v>
      </c>
      <c r="H169" s="8">
        <v>0</v>
      </c>
      <c r="I169" s="4">
        <v>0</v>
      </c>
    </row>
    <row r="170" spans="1:9" x14ac:dyDescent="0.2">
      <c r="A170" s="2">
        <v>11</v>
      </c>
      <c r="B170" s="1" t="s">
        <v>172</v>
      </c>
      <c r="C170" s="4">
        <v>36</v>
      </c>
      <c r="D170" s="8">
        <v>2.12</v>
      </c>
      <c r="E170" s="4">
        <v>32</v>
      </c>
      <c r="F170" s="8">
        <v>3.38</v>
      </c>
      <c r="G170" s="4">
        <v>4</v>
      </c>
      <c r="H170" s="8">
        <v>0.55000000000000004</v>
      </c>
      <c r="I170" s="4">
        <v>0</v>
      </c>
    </row>
    <row r="171" spans="1:9" x14ac:dyDescent="0.2">
      <c r="A171" s="2">
        <v>12</v>
      </c>
      <c r="B171" s="1" t="s">
        <v>161</v>
      </c>
      <c r="C171" s="4">
        <v>35</v>
      </c>
      <c r="D171" s="8">
        <v>2.06</v>
      </c>
      <c r="E171" s="4">
        <v>24</v>
      </c>
      <c r="F171" s="8">
        <v>2.5299999999999998</v>
      </c>
      <c r="G171" s="4">
        <v>11</v>
      </c>
      <c r="H171" s="8">
        <v>1.5</v>
      </c>
      <c r="I171" s="4">
        <v>0</v>
      </c>
    </row>
    <row r="172" spans="1:9" x14ac:dyDescent="0.2">
      <c r="A172" s="2">
        <v>12</v>
      </c>
      <c r="B172" s="1" t="s">
        <v>163</v>
      </c>
      <c r="C172" s="4">
        <v>35</v>
      </c>
      <c r="D172" s="8">
        <v>2.06</v>
      </c>
      <c r="E172" s="4">
        <v>17</v>
      </c>
      <c r="F172" s="8">
        <v>1.8</v>
      </c>
      <c r="G172" s="4">
        <v>18</v>
      </c>
      <c r="H172" s="8">
        <v>2.46</v>
      </c>
      <c r="I172" s="4">
        <v>0</v>
      </c>
    </row>
    <row r="173" spans="1:9" x14ac:dyDescent="0.2">
      <c r="A173" s="2">
        <v>14</v>
      </c>
      <c r="B173" s="1" t="s">
        <v>156</v>
      </c>
      <c r="C173" s="4">
        <v>32</v>
      </c>
      <c r="D173" s="8">
        <v>1.89</v>
      </c>
      <c r="E173" s="4">
        <v>7</v>
      </c>
      <c r="F173" s="8">
        <v>0.74</v>
      </c>
      <c r="G173" s="4">
        <v>25</v>
      </c>
      <c r="H173" s="8">
        <v>3.42</v>
      </c>
      <c r="I173" s="4">
        <v>0</v>
      </c>
    </row>
    <row r="174" spans="1:9" x14ac:dyDescent="0.2">
      <c r="A174" s="2">
        <v>15</v>
      </c>
      <c r="B174" s="1" t="s">
        <v>155</v>
      </c>
      <c r="C174" s="4">
        <v>26</v>
      </c>
      <c r="D174" s="8">
        <v>1.53</v>
      </c>
      <c r="E174" s="4">
        <v>5</v>
      </c>
      <c r="F174" s="8">
        <v>0.53</v>
      </c>
      <c r="G174" s="4">
        <v>21</v>
      </c>
      <c r="H174" s="8">
        <v>2.87</v>
      </c>
      <c r="I174" s="4">
        <v>0</v>
      </c>
    </row>
    <row r="175" spans="1:9" x14ac:dyDescent="0.2">
      <c r="A175" s="2">
        <v>16</v>
      </c>
      <c r="B175" s="1" t="s">
        <v>176</v>
      </c>
      <c r="C175" s="4">
        <v>25</v>
      </c>
      <c r="D175" s="8">
        <v>1.47</v>
      </c>
      <c r="E175" s="4">
        <v>25</v>
      </c>
      <c r="F175" s="8">
        <v>2.64</v>
      </c>
      <c r="G175" s="4">
        <v>0</v>
      </c>
      <c r="H175" s="8">
        <v>0</v>
      </c>
      <c r="I175" s="4">
        <v>0</v>
      </c>
    </row>
    <row r="176" spans="1:9" x14ac:dyDescent="0.2">
      <c r="A176" s="2">
        <v>17</v>
      </c>
      <c r="B176" s="1" t="s">
        <v>154</v>
      </c>
      <c r="C176" s="4">
        <v>24</v>
      </c>
      <c r="D176" s="8">
        <v>1.42</v>
      </c>
      <c r="E176" s="4">
        <v>3</v>
      </c>
      <c r="F176" s="8">
        <v>0.32</v>
      </c>
      <c r="G176" s="4">
        <v>21</v>
      </c>
      <c r="H176" s="8">
        <v>2.87</v>
      </c>
      <c r="I176" s="4">
        <v>0</v>
      </c>
    </row>
    <row r="177" spans="1:9" x14ac:dyDescent="0.2">
      <c r="A177" s="2">
        <v>18</v>
      </c>
      <c r="B177" s="1" t="s">
        <v>174</v>
      </c>
      <c r="C177" s="4">
        <v>21</v>
      </c>
      <c r="D177" s="8">
        <v>1.24</v>
      </c>
      <c r="E177" s="4">
        <v>6</v>
      </c>
      <c r="F177" s="8">
        <v>0.63</v>
      </c>
      <c r="G177" s="4">
        <v>15</v>
      </c>
      <c r="H177" s="8">
        <v>2.0499999999999998</v>
      </c>
      <c r="I177" s="4">
        <v>0</v>
      </c>
    </row>
    <row r="178" spans="1:9" x14ac:dyDescent="0.2">
      <c r="A178" s="2">
        <v>18</v>
      </c>
      <c r="B178" s="1" t="s">
        <v>157</v>
      </c>
      <c r="C178" s="4">
        <v>21</v>
      </c>
      <c r="D178" s="8">
        <v>1.24</v>
      </c>
      <c r="E178" s="4">
        <v>14</v>
      </c>
      <c r="F178" s="8">
        <v>1.48</v>
      </c>
      <c r="G178" s="4">
        <v>7</v>
      </c>
      <c r="H178" s="8">
        <v>0.96</v>
      </c>
      <c r="I178" s="4">
        <v>0</v>
      </c>
    </row>
    <row r="179" spans="1:9" x14ac:dyDescent="0.2">
      <c r="A179" s="2">
        <v>18</v>
      </c>
      <c r="B179" s="1" t="s">
        <v>177</v>
      </c>
      <c r="C179" s="4">
        <v>21</v>
      </c>
      <c r="D179" s="8">
        <v>1.24</v>
      </c>
      <c r="E179" s="4">
        <v>13</v>
      </c>
      <c r="F179" s="8">
        <v>1.37</v>
      </c>
      <c r="G179" s="4">
        <v>8</v>
      </c>
      <c r="H179" s="8">
        <v>1.0900000000000001</v>
      </c>
      <c r="I179" s="4">
        <v>0</v>
      </c>
    </row>
    <row r="180" spans="1:9" x14ac:dyDescent="0.2">
      <c r="A180" s="2">
        <v>18</v>
      </c>
      <c r="B180" s="1" t="s">
        <v>183</v>
      </c>
      <c r="C180" s="4">
        <v>21</v>
      </c>
      <c r="D180" s="8">
        <v>1.24</v>
      </c>
      <c r="E180" s="4">
        <v>17</v>
      </c>
      <c r="F180" s="8">
        <v>1.8</v>
      </c>
      <c r="G180" s="4">
        <v>4</v>
      </c>
      <c r="H180" s="8">
        <v>0.55000000000000004</v>
      </c>
      <c r="I180" s="4">
        <v>0</v>
      </c>
    </row>
    <row r="181" spans="1:9" x14ac:dyDescent="0.2">
      <c r="A181" s="1"/>
      <c r="C181" s="4"/>
      <c r="D181" s="8"/>
      <c r="E181" s="4"/>
      <c r="F181" s="8"/>
      <c r="G181" s="4"/>
      <c r="H181" s="8"/>
      <c r="I181" s="4"/>
    </row>
    <row r="182" spans="1:9" x14ac:dyDescent="0.2">
      <c r="A182" s="1" t="s">
        <v>8</v>
      </c>
      <c r="C182" s="4"/>
      <c r="D182" s="8"/>
      <c r="E182" s="4"/>
      <c r="F182" s="8"/>
      <c r="G182" s="4"/>
      <c r="H182" s="8"/>
      <c r="I182" s="4"/>
    </row>
    <row r="183" spans="1:9" x14ac:dyDescent="0.2">
      <c r="A183" s="2">
        <v>1</v>
      </c>
      <c r="B183" s="1" t="s">
        <v>170</v>
      </c>
      <c r="C183" s="4">
        <v>336</v>
      </c>
      <c r="D183" s="8">
        <v>6.25</v>
      </c>
      <c r="E183" s="4">
        <v>304</v>
      </c>
      <c r="F183" s="8">
        <v>10.99</v>
      </c>
      <c r="G183" s="4">
        <v>32</v>
      </c>
      <c r="H183" s="8">
        <v>1.25</v>
      </c>
      <c r="I183" s="4">
        <v>0</v>
      </c>
    </row>
    <row r="184" spans="1:9" x14ac:dyDescent="0.2">
      <c r="A184" s="2">
        <v>2</v>
      </c>
      <c r="B184" s="1" t="s">
        <v>164</v>
      </c>
      <c r="C184" s="4">
        <v>230</v>
      </c>
      <c r="D184" s="8">
        <v>4.28</v>
      </c>
      <c r="E184" s="4">
        <v>107</v>
      </c>
      <c r="F184" s="8">
        <v>3.87</v>
      </c>
      <c r="G184" s="4">
        <v>123</v>
      </c>
      <c r="H184" s="8">
        <v>4.8</v>
      </c>
      <c r="I184" s="4">
        <v>0</v>
      </c>
    </row>
    <row r="185" spans="1:9" x14ac:dyDescent="0.2">
      <c r="A185" s="2">
        <v>3</v>
      </c>
      <c r="B185" s="1" t="s">
        <v>167</v>
      </c>
      <c r="C185" s="4">
        <v>183</v>
      </c>
      <c r="D185" s="8">
        <v>3.4</v>
      </c>
      <c r="E185" s="4">
        <v>170</v>
      </c>
      <c r="F185" s="8">
        <v>6.15</v>
      </c>
      <c r="G185" s="4">
        <v>13</v>
      </c>
      <c r="H185" s="8">
        <v>0.51</v>
      </c>
      <c r="I185" s="4">
        <v>0</v>
      </c>
    </row>
    <row r="186" spans="1:9" x14ac:dyDescent="0.2">
      <c r="A186" s="2">
        <v>4</v>
      </c>
      <c r="B186" s="1" t="s">
        <v>169</v>
      </c>
      <c r="C186" s="4">
        <v>181</v>
      </c>
      <c r="D186" s="8">
        <v>3.37</v>
      </c>
      <c r="E186" s="4">
        <v>176</v>
      </c>
      <c r="F186" s="8">
        <v>6.36</v>
      </c>
      <c r="G186" s="4">
        <v>5</v>
      </c>
      <c r="H186" s="8">
        <v>0.2</v>
      </c>
      <c r="I186" s="4">
        <v>0</v>
      </c>
    </row>
    <row r="187" spans="1:9" x14ac:dyDescent="0.2">
      <c r="A187" s="2">
        <v>5</v>
      </c>
      <c r="B187" s="1" t="s">
        <v>168</v>
      </c>
      <c r="C187" s="4">
        <v>178</v>
      </c>
      <c r="D187" s="8">
        <v>3.31</v>
      </c>
      <c r="E187" s="4">
        <v>163</v>
      </c>
      <c r="F187" s="8">
        <v>5.89</v>
      </c>
      <c r="G187" s="4">
        <v>15</v>
      </c>
      <c r="H187" s="8">
        <v>0.59</v>
      </c>
      <c r="I187" s="4">
        <v>0</v>
      </c>
    </row>
    <row r="188" spans="1:9" x14ac:dyDescent="0.2">
      <c r="A188" s="2">
        <v>6</v>
      </c>
      <c r="B188" s="1" t="s">
        <v>160</v>
      </c>
      <c r="C188" s="4">
        <v>133</v>
      </c>
      <c r="D188" s="8">
        <v>2.4700000000000002</v>
      </c>
      <c r="E188" s="4">
        <v>41</v>
      </c>
      <c r="F188" s="8">
        <v>1.48</v>
      </c>
      <c r="G188" s="4">
        <v>92</v>
      </c>
      <c r="H188" s="8">
        <v>3.59</v>
      </c>
      <c r="I188" s="4">
        <v>0</v>
      </c>
    </row>
    <row r="189" spans="1:9" x14ac:dyDescent="0.2">
      <c r="A189" s="2">
        <v>6</v>
      </c>
      <c r="B189" s="1" t="s">
        <v>172</v>
      </c>
      <c r="C189" s="4">
        <v>133</v>
      </c>
      <c r="D189" s="8">
        <v>2.4700000000000002</v>
      </c>
      <c r="E189" s="4">
        <v>112</v>
      </c>
      <c r="F189" s="8">
        <v>4.05</v>
      </c>
      <c r="G189" s="4">
        <v>21</v>
      </c>
      <c r="H189" s="8">
        <v>0.82</v>
      </c>
      <c r="I189" s="4">
        <v>0</v>
      </c>
    </row>
    <row r="190" spans="1:9" x14ac:dyDescent="0.2">
      <c r="A190" s="2">
        <v>8</v>
      </c>
      <c r="B190" s="1" t="s">
        <v>166</v>
      </c>
      <c r="C190" s="4">
        <v>128</v>
      </c>
      <c r="D190" s="8">
        <v>2.38</v>
      </c>
      <c r="E190" s="4">
        <v>99</v>
      </c>
      <c r="F190" s="8">
        <v>3.58</v>
      </c>
      <c r="G190" s="4">
        <v>29</v>
      </c>
      <c r="H190" s="8">
        <v>1.1299999999999999</v>
      </c>
      <c r="I190" s="4">
        <v>0</v>
      </c>
    </row>
    <row r="191" spans="1:9" x14ac:dyDescent="0.2">
      <c r="A191" s="2">
        <v>9</v>
      </c>
      <c r="B191" s="1" t="s">
        <v>154</v>
      </c>
      <c r="C191" s="4">
        <v>127</v>
      </c>
      <c r="D191" s="8">
        <v>2.36</v>
      </c>
      <c r="E191" s="4">
        <v>25</v>
      </c>
      <c r="F191" s="8">
        <v>0.9</v>
      </c>
      <c r="G191" s="4">
        <v>102</v>
      </c>
      <c r="H191" s="8">
        <v>3.98</v>
      </c>
      <c r="I191" s="4">
        <v>0</v>
      </c>
    </row>
    <row r="192" spans="1:9" x14ac:dyDescent="0.2">
      <c r="A192" s="2">
        <v>10</v>
      </c>
      <c r="B192" s="1" t="s">
        <v>159</v>
      </c>
      <c r="C192" s="4">
        <v>111</v>
      </c>
      <c r="D192" s="8">
        <v>2.06</v>
      </c>
      <c r="E192" s="4">
        <v>81</v>
      </c>
      <c r="F192" s="8">
        <v>2.93</v>
      </c>
      <c r="G192" s="4">
        <v>30</v>
      </c>
      <c r="H192" s="8">
        <v>1.17</v>
      </c>
      <c r="I192" s="4">
        <v>0</v>
      </c>
    </row>
    <row r="193" spans="1:9" x14ac:dyDescent="0.2">
      <c r="A193" s="2">
        <v>11</v>
      </c>
      <c r="B193" s="1" t="s">
        <v>156</v>
      </c>
      <c r="C193" s="4">
        <v>102</v>
      </c>
      <c r="D193" s="8">
        <v>1.9</v>
      </c>
      <c r="E193" s="4">
        <v>15</v>
      </c>
      <c r="F193" s="8">
        <v>0.54</v>
      </c>
      <c r="G193" s="4">
        <v>87</v>
      </c>
      <c r="H193" s="8">
        <v>3.39</v>
      </c>
      <c r="I193" s="4">
        <v>0</v>
      </c>
    </row>
    <row r="194" spans="1:9" x14ac:dyDescent="0.2">
      <c r="A194" s="2">
        <v>11</v>
      </c>
      <c r="B194" s="1" t="s">
        <v>161</v>
      </c>
      <c r="C194" s="4">
        <v>102</v>
      </c>
      <c r="D194" s="8">
        <v>1.9</v>
      </c>
      <c r="E194" s="4">
        <v>75</v>
      </c>
      <c r="F194" s="8">
        <v>2.71</v>
      </c>
      <c r="G194" s="4">
        <v>27</v>
      </c>
      <c r="H194" s="8">
        <v>1.05</v>
      </c>
      <c r="I194" s="4">
        <v>0</v>
      </c>
    </row>
    <row r="195" spans="1:9" x14ac:dyDescent="0.2">
      <c r="A195" s="2">
        <v>13</v>
      </c>
      <c r="B195" s="1" t="s">
        <v>155</v>
      </c>
      <c r="C195" s="4">
        <v>96</v>
      </c>
      <c r="D195" s="8">
        <v>1.79</v>
      </c>
      <c r="E195" s="4">
        <v>10</v>
      </c>
      <c r="F195" s="8">
        <v>0.36</v>
      </c>
      <c r="G195" s="4">
        <v>86</v>
      </c>
      <c r="H195" s="8">
        <v>3.36</v>
      </c>
      <c r="I195" s="4">
        <v>0</v>
      </c>
    </row>
    <row r="196" spans="1:9" x14ac:dyDescent="0.2">
      <c r="A196" s="2">
        <v>14</v>
      </c>
      <c r="B196" s="1" t="s">
        <v>163</v>
      </c>
      <c r="C196" s="4">
        <v>92</v>
      </c>
      <c r="D196" s="8">
        <v>1.71</v>
      </c>
      <c r="E196" s="4">
        <v>13</v>
      </c>
      <c r="F196" s="8">
        <v>0.47</v>
      </c>
      <c r="G196" s="4">
        <v>79</v>
      </c>
      <c r="H196" s="8">
        <v>3.08</v>
      </c>
      <c r="I196" s="4">
        <v>0</v>
      </c>
    </row>
    <row r="197" spans="1:9" x14ac:dyDescent="0.2">
      <c r="A197" s="2">
        <v>15</v>
      </c>
      <c r="B197" s="1" t="s">
        <v>158</v>
      </c>
      <c r="C197" s="4">
        <v>91</v>
      </c>
      <c r="D197" s="8">
        <v>1.69</v>
      </c>
      <c r="E197" s="4">
        <v>68</v>
      </c>
      <c r="F197" s="8">
        <v>2.46</v>
      </c>
      <c r="G197" s="4">
        <v>23</v>
      </c>
      <c r="H197" s="8">
        <v>0.9</v>
      </c>
      <c r="I197" s="4">
        <v>0</v>
      </c>
    </row>
    <row r="198" spans="1:9" x14ac:dyDescent="0.2">
      <c r="A198" s="2">
        <v>16</v>
      </c>
      <c r="B198" s="1" t="s">
        <v>171</v>
      </c>
      <c r="C198" s="4">
        <v>83</v>
      </c>
      <c r="D198" s="8">
        <v>1.54</v>
      </c>
      <c r="E198" s="4">
        <v>67</v>
      </c>
      <c r="F198" s="8">
        <v>2.42</v>
      </c>
      <c r="G198" s="4">
        <v>16</v>
      </c>
      <c r="H198" s="8">
        <v>0.62</v>
      </c>
      <c r="I198" s="4">
        <v>0</v>
      </c>
    </row>
    <row r="199" spans="1:9" x14ac:dyDescent="0.2">
      <c r="A199" s="2">
        <v>17</v>
      </c>
      <c r="B199" s="1" t="s">
        <v>162</v>
      </c>
      <c r="C199" s="4">
        <v>79</v>
      </c>
      <c r="D199" s="8">
        <v>1.47</v>
      </c>
      <c r="E199" s="4">
        <v>18</v>
      </c>
      <c r="F199" s="8">
        <v>0.65</v>
      </c>
      <c r="G199" s="4">
        <v>61</v>
      </c>
      <c r="H199" s="8">
        <v>2.38</v>
      </c>
      <c r="I199" s="4">
        <v>0</v>
      </c>
    </row>
    <row r="200" spans="1:9" x14ac:dyDescent="0.2">
      <c r="A200" s="2">
        <v>18</v>
      </c>
      <c r="B200" s="1" t="s">
        <v>173</v>
      </c>
      <c r="C200" s="4">
        <v>78</v>
      </c>
      <c r="D200" s="8">
        <v>1.45</v>
      </c>
      <c r="E200" s="4">
        <v>52</v>
      </c>
      <c r="F200" s="8">
        <v>1.88</v>
      </c>
      <c r="G200" s="4">
        <v>25</v>
      </c>
      <c r="H200" s="8">
        <v>0.98</v>
      </c>
      <c r="I200" s="4">
        <v>1</v>
      </c>
    </row>
    <row r="201" spans="1:9" x14ac:dyDescent="0.2">
      <c r="A201" s="2">
        <v>19</v>
      </c>
      <c r="B201" s="1" t="s">
        <v>174</v>
      </c>
      <c r="C201" s="4">
        <v>67</v>
      </c>
      <c r="D201" s="8">
        <v>1.25</v>
      </c>
      <c r="E201" s="4">
        <v>12</v>
      </c>
      <c r="F201" s="8">
        <v>0.43</v>
      </c>
      <c r="G201" s="4">
        <v>55</v>
      </c>
      <c r="H201" s="8">
        <v>2.15</v>
      </c>
      <c r="I201" s="4">
        <v>0</v>
      </c>
    </row>
    <row r="202" spans="1:9" x14ac:dyDescent="0.2">
      <c r="A202" s="2">
        <v>20</v>
      </c>
      <c r="B202" s="1" t="s">
        <v>186</v>
      </c>
      <c r="C202" s="4">
        <v>66</v>
      </c>
      <c r="D202" s="8">
        <v>1.23</v>
      </c>
      <c r="E202" s="4">
        <v>20</v>
      </c>
      <c r="F202" s="8">
        <v>0.72</v>
      </c>
      <c r="G202" s="4">
        <v>46</v>
      </c>
      <c r="H202" s="8">
        <v>1.79</v>
      </c>
      <c r="I202" s="4">
        <v>0</v>
      </c>
    </row>
    <row r="203" spans="1:9" x14ac:dyDescent="0.2">
      <c r="A203" s="1"/>
      <c r="C203" s="4"/>
      <c r="D203" s="8"/>
      <c r="E203" s="4"/>
      <c r="F203" s="8"/>
      <c r="G203" s="4"/>
      <c r="H203" s="8"/>
      <c r="I203" s="4"/>
    </row>
    <row r="204" spans="1:9" x14ac:dyDescent="0.2">
      <c r="A204" s="1" t="s">
        <v>9</v>
      </c>
      <c r="C204" s="4"/>
      <c r="D204" s="8"/>
      <c r="E204" s="4"/>
      <c r="F204" s="8"/>
      <c r="G204" s="4"/>
      <c r="H204" s="8"/>
      <c r="I204" s="4"/>
    </row>
    <row r="205" spans="1:9" x14ac:dyDescent="0.2">
      <c r="A205" s="2">
        <v>1</v>
      </c>
      <c r="B205" s="1" t="s">
        <v>164</v>
      </c>
      <c r="C205" s="4">
        <v>1794</v>
      </c>
      <c r="D205" s="8">
        <v>4.57</v>
      </c>
      <c r="E205" s="4">
        <v>481</v>
      </c>
      <c r="F205" s="8">
        <v>3.23</v>
      </c>
      <c r="G205" s="4">
        <v>1309</v>
      </c>
      <c r="H205" s="8">
        <v>5.45</v>
      </c>
      <c r="I205" s="4">
        <v>0</v>
      </c>
    </row>
    <row r="206" spans="1:9" x14ac:dyDescent="0.2">
      <c r="A206" s="2">
        <v>2</v>
      </c>
      <c r="B206" s="1" t="s">
        <v>170</v>
      </c>
      <c r="C206" s="4">
        <v>1684</v>
      </c>
      <c r="D206" s="8">
        <v>4.29</v>
      </c>
      <c r="E206" s="4">
        <v>1380</v>
      </c>
      <c r="F206" s="8">
        <v>9.27</v>
      </c>
      <c r="G206" s="4">
        <v>304</v>
      </c>
      <c r="H206" s="8">
        <v>1.26</v>
      </c>
      <c r="I206" s="4">
        <v>0</v>
      </c>
    </row>
    <row r="207" spans="1:9" x14ac:dyDescent="0.2">
      <c r="A207" s="2">
        <v>3</v>
      </c>
      <c r="B207" s="1" t="s">
        <v>168</v>
      </c>
      <c r="C207" s="4">
        <v>1302</v>
      </c>
      <c r="D207" s="8">
        <v>3.32</v>
      </c>
      <c r="E207" s="4">
        <v>1132</v>
      </c>
      <c r="F207" s="8">
        <v>7.6</v>
      </c>
      <c r="G207" s="4">
        <v>170</v>
      </c>
      <c r="H207" s="8">
        <v>0.71</v>
      </c>
      <c r="I207" s="4">
        <v>0</v>
      </c>
    </row>
    <row r="208" spans="1:9" x14ac:dyDescent="0.2">
      <c r="A208" s="2">
        <v>4</v>
      </c>
      <c r="B208" s="1" t="s">
        <v>167</v>
      </c>
      <c r="C208" s="4">
        <v>1255</v>
      </c>
      <c r="D208" s="8">
        <v>3.2</v>
      </c>
      <c r="E208" s="4">
        <v>1082</v>
      </c>
      <c r="F208" s="8">
        <v>7.27</v>
      </c>
      <c r="G208" s="4">
        <v>173</v>
      </c>
      <c r="H208" s="8">
        <v>0.72</v>
      </c>
      <c r="I208" s="4">
        <v>0</v>
      </c>
    </row>
    <row r="209" spans="1:9" x14ac:dyDescent="0.2">
      <c r="A209" s="2">
        <v>5</v>
      </c>
      <c r="B209" s="1" t="s">
        <v>166</v>
      </c>
      <c r="C209" s="4">
        <v>1213</v>
      </c>
      <c r="D209" s="8">
        <v>3.09</v>
      </c>
      <c r="E209" s="4">
        <v>928</v>
      </c>
      <c r="F209" s="8">
        <v>6.23</v>
      </c>
      <c r="G209" s="4">
        <v>285</v>
      </c>
      <c r="H209" s="8">
        <v>1.19</v>
      </c>
      <c r="I209" s="4">
        <v>0</v>
      </c>
    </row>
    <row r="210" spans="1:9" x14ac:dyDescent="0.2">
      <c r="A210" s="2">
        <v>6</v>
      </c>
      <c r="B210" s="1" t="s">
        <v>172</v>
      </c>
      <c r="C210" s="4">
        <v>900</v>
      </c>
      <c r="D210" s="8">
        <v>2.29</v>
      </c>
      <c r="E210" s="4">
        <v>744</v>
      </c>
      <c r="F210" s="8">
        <v>5</v>
      </c>
      <c r="G210" s="4">
        <v>156</v>
      </c>
      <c r="H210" s="8">
        <v>0.65</v>
      </c>
      <c r="I210" s="4">
        <v>0</v>
      </c>
    </row>
    <row r="211" spans="1:9" x14ac:dyDescent="0.2">
      <c r="A211" s="2">
        <v>7</v>
      </c>
      <c r="B211" s="1" t="s">
        <v>163</v>
      </c>
      <c r="C211" s="4">
        <v>845</v>
      </c>
      <c r="D211" s="8">
        <v>2.15</v>
      </c>
      <c r="E211" s="4">
        <v>99</v>
      </c>
      <c r="F211" s="8">
        <v>0.67</v>
      </c>
      <c r="G211" s="4">
        <v>744</v>
      </c>
      <c r="H211" s="8">
        <v>3.09</v>
      </c>
      <c r="I211" s="4">
        <v>2</v>
      </c>
    </row>
    <row r="212" spans="1:9" x14ac:dyDescent="0.2">
      <c r="A212" s="2">
        <v>8</v>
      </c>
      <c r="B212" s="1" t="s">
        <v>165</v>
      </c>
      <c r="C212" s="4">
        <v>799</v>
      </c>
      <c r="D212" s="8">
        <v>2.04</v>
      </c>
      <c r="E212" s="4">
        <v>177</v>
      </c>
      <c r="F212" s="8">
        <v>1.19</v>
      </c>
      <c r="G212" s="4">
        <v>622</v>
      </c>
      <c r="H212" s="8">
        <v>2.59</v>
      </c>
      <c r="I212" s="4">
        <v>0</v>
      </c>
    </row>
    <row r="213" spans="1:9" x14ac:dyDescent="0.2">
      <c r="A213" s="2">
        <v>9</v>
      </c>
      <c r="B213" s="1" t="s">
        <v>171</v>
      </c>
      <c r="C213" s="4">
        <v>788</v>
      </c>
      <c r="D213" s="8">
        <v>2.0099999999999998</v>
      </c>
      <c r="E213" s="4">
        <v>541</v>
      </c>
      <c r="F213" s="8">
        <v>3.63</v>
      </c>
      <c r="G213" s="4">
        <v>246</v>
      </c>
      <c r="H213" s="8">
        <v>1.02</v>
      </c>
      <c r="I213" s="4">
        <v>1</v>
      </c>
    </row>
    <row r="214" spans="1:9" x14ac:dyDescent="0.2">
      <c r="A214" s="2">
        <v>10</v>
      </c>
      <c r="B214" s="1" t="s">
        <v>162</v>
      </c>
      <c r="C214" s="4">
        <v>787</v>
      </c>
      <c r="D214" s="8">
        <v>2.0099999999999998</v>
      </c>
      <c r="E214" s="4">
        <v>113</v>
      </c>
      <c r="F214" s="8">
        <v>0.76</v>
      </c>
      <c r="G214" s="4">
        <v>674</v>
      </c>
      <c r="H214" s="8">
        <v>2.8</v>
      </c>
      <c r="I214" s="4">
        <v>0</v>
      </c>
    </row>
    <row r="215" spans="1:9" x14ac:dyDescent="0.2">
      <c r="A215" s="2">
        <v>11</v>
      </c>
      <c r="B215" s="1" t="s">
        <v>169</v>
      </c>
      <c r="C215" s="4">
        <v>689</v>
      </c>
      <c r="D215" s="8">
        <v>1.76</v>
      </c>
      <c r="E215" s="4">
        <v>650</v>
      </c>
      <c r="F215" s="8">
        <v>4.37</v>
      </c>
      <c r="G215" s="4">
        <v>39</v>
      </c>
      <c r="H215" s="8">
        <v>0.16</v>
      </c>
      <c r="I215" s="4">
        <v>0</v>
      </c>
    </row>
    <row r="216" spans="1:9" x14ac:dyDescent="0.2">
      <c r="A216" s="2">
        <v>12</v>
      </c>
      <c r="B216" s="1" t="s">
        <v>161</v>
      </c>
      <c r="C216" s="4">
        <v>611</v>
      </c>
      <c r="D216" s="8">
        <v>1.56</v>
      </c>
      <c r="E216" s="4">
        <v>345</v>
      </c>
      <c r="F216" s="8">
        <v>2.3199999999999998</v>
      </c>
      <c r="G216" s="4">
        <v>266</v>
      </c>
      <c r="H216" s="8">
        <v>1.1100000000000001</v>
      </c>
      <c r="I216" s="4">
        <v>0</v>
      </c>
    </row>
    <row r="217" spans="1:9" x14ac:dyDescent="0.2">
      <c r="A217" s="2">
        <v>13</v>
      </c>
      <c r="B217" s="1" t="s">
        <v>160</v>
      </c>
      <c r="C217" s="4">
        <v>586</v>
      </c>
      <c r="D217" s="8">
        <v>1.49</v>
      </c>
      <c r="E217" s="4">
        <v>144</v>
      </c>
      <c r="F217" s="8">
        <v>0.97</v>
      </c>
      <c r="G217" s="4">
        <v>442</v>
      </c>
      <c r="H217" s="8">
        <v>1.84</v>
      </c>
      <c r="I217" s="4">
        <v>0</v>
      </c>
    </row>
    <row r="218" spans="1:9" x14ac:dyDescent="0.2">
      <c r="A218" s="2">
        <v>14</v>
      </c>
      <c r="B218" s="1" t="s">
        <v>190</v>
      </c>
      <c r="C218" s="4">
        <v>557</v>
      </c>
      <c r="D218" s="8">
        <v>1.42</v>
      </c>
      <c r="E218" s="4">
        <v>33</v>
      </c>
      <c r="F218" s="8">
        <v>0.22</v>
      </c>
      <c r="G218" s="4">
        <v>510</v>
      </c>
      <c r="H218" s="8">
        <v>2.12</v>
      </c>
      <c r="I218" s="4">
        <v>12</v>
      </c>
    </row>
    <row r="219" spans="1:9" x14ac:dyDescent="0.2">
      <c r="A219" s="2">
        <v>15</v>
      </c>
      <c r="B219" s="1" t="s">
        <v>157</v>
      </c>
      <c r="C219" s="4">
        <v>551</v>
      </c>
      <c r="D219" s="8">
        <v>1.4</v>
      </c>
      <c r="E219" s="4">
        <v>200</v>
      </c>
      <c r="F219" s="8">
        <v>1.34</v>
      </c>
      <c r="G219" s="4">
        <v>351</v>
      </c>
      <c r="H219" s="8">
        <v>1.46</v>
      </c>
      <c r="I219" s="4">
        <v>0</v>
      </c>
    </row>
    <row r="220" spans="1:9" x14ac:dyDescent="0.2">
      <c r="A220" s="2">
        <v>16</v>
      </c>
      <c r="B220" s="1" t="s">
        <v>185</v>
      </c>
      <c r="C220" s="4">
        <v>544</v>
      </c>
      <c r="D220" s="8">
        <v>1.39</v>
      </c>
      <c r="E220" s="4">
        <v>34</v>
      </c>
      <c r="F220" s="8">
        <v>0.23</v>
      </c>
      <c r="G220" s="4">
        <v>509</v>
      </c>
      <c r="H220" s="8">
        <v>2.12</v>
      </c>
      <c r="I220" s="4">
        <v>1</v>
      </c>
    </row>
    <row r="221" spans="1:9" x14ac:dyDescent="0.2">
      <c r="A221" s="2">
        <v>17</v>
      </c>
      <c r="B221" s="1" t="s">
        <v>188</v>
      </c>
      <c r="C221" s="4">
        <v>536</v>
      </c>
      <c r="D221" s="8">
        <v>1.37</v>
      </c>
      <c r="E221" s="4">
        <v>38</v>
      </c>
      <c r="F221" s="8">
        <v>0.26</v>
      </c>
      <c r="G221" s="4">
        <v>494</v>
      </c>
      <c r="H221" s="8">
        <v>2.0499999999999998</v>
      </c>
      <c r="I221" s="4">
        <v>4</v>
      </c>
    </row>
    <row r="222" spans="1:9" x14ac:dyDescent="0.2">
      <c r="A222" s="2">
        <v>18</v>
      </c>
      <c r="B222" s="1" t="s">
        <v>158</v>
      </c>
      <c r="C222" s="4">
        <v>523</v>
      </c>
      <c r="D222" s="8">
        <v>1.33</v>
      </c>
      <c r="E222" s="4">
        <v>296</v>
      </c>
      <c r="F222" s="8">
        <v>1.99</v>
      </c>
      <c r="G222" s="4">
        <v>226</v>
      </c>
      <c r="H222" s="8">
        <v>0.94</v>
      </c>
      <c r="I222" s="4">
        <v>1</v>
      </c>
    </row>
    <row r="223" spans="1:9" x14ac:dyDescent="0.2">
      <c r="A223" s="2">
        <v>19</v>
      </c>
      <c r="B223" s="1" t="s">
        <v>155</v>
      </c>
      <c r="C223" s="4">
        <v>494</v>
      </c>
      <c r="D223" s="8">
        <v>1.26</v>
      </c>
      <c r="E223" s="4">
        <v>30</v>
      </c>
      <c r="F223" s="8">
        <v>0.2</v>
      </c>
      <c r="G223" s="4">
        <v>464</v>
      </c>
      <c r="H223" s="8">
        <v>1.93</v>
      </c>
      <c r="I223" s="4">
        <v>0</v>
      </c>
    </row>
    <row r="224" spans="1:9" x14ac:dyDescent="0.2">
      <c r="A224" s="2">
        <v>20</v>
      </c>
      <c r="B224" s="1" t="s">
        <v>189</v>
      </c>
      <c r="C224" s="4">
        <v>482</v>
      </c>
      <c r="D224" s="8">
        <v>1.23</v>
      </c>
      <c r="E224" s="4">
        <v>32</v>
      </c>
      <c r="F224" s="8">
        <v>0.21</v>
      </c>
      <c r="G224" s="4">
        <v>448</v>
      </c>
      <c r="H224" s="8">
        <v>1.86</v>
      </c>
      <c r="I224" s="4">
        <v>2</v>
      </c>
    </row>
    <row r="225" spans="1:9" x14ac:dyDescent="0.2">
      <c r="A225" s="1"/>
      <c r="C225" s="4"/>
      <c r="D225" s="8"/>
      <c r="E225" s="4"/>
      <c r="F225" s="8"/>
      <c r="G225" s="4"/>
      <c r="H225" s="8"/>
      <c r="I225" s="4"/>
    </row>
    <row r="226" spans="1:9" x14ac:dyDescent="0.2">
      <c r="A226" s="1" t="s">
        <v>10</v>
      </c>
      <c r="C226" s="4"/>
      <c r="D226" s="8"/>
      <c r="E226" s="4"/>
      <c r="F226" s="8"/>
      <c r="G226" s="4"/>
      <c r="H226" s="8"/>
      <c r="I226" s="4"/>
    </row>
    <row r="227" spans="1:9" x14ac:dyDescent="0.2">
      <c r="A227" s="2">
        <v>1</v>
      </c>
      <c r="B227" s="1" t="s">
        <v>164</v>
      </c>
      <c r="C227" s="4">
        <v>267</v>
      </c>
      <c r="D227" s="8">
        <v>5.71</v>
      </c>
      <c r="E227" s="4">
        <v>64</v>
      </c>
      <c r="F227" s="8">
        <v>3.76</v>
      </c>
      <c r="G227" s="4">
        <v>202</v>
      </c>
      <c r="H227" s="8">
        <v>6.9</v>
      </c>
      <c r="I227" s="4">
        <v>0</v>
      </c>
    </row>
    <row r="228" spans="1:9" x14ac:dyDescent="0.2">
      <c r="A228" s="2">
        <v>2</v>
      </c>
      <c r="B228" s="1" t="s">
        <v>170</v>
      </c>
      <c r="C228" s="4">
        <v>222</v>
      </c>
      <c r="D228" s="8">
        <v>4.75</v>
      </c>
      <c r="E228" s="4">
        <v>181</v>
      </c>
      <c r="F228" s="8">
        <v>10.65</v>
      </c>
      <c r="G228" s="4">
        <v>41</v>
      </c>
      <c r="H228" s="8">
        <v>1.4</v>
      </c>
      <c r="I228" s="4">
        <v>0</v>
      </c>
    </row>
    <row r="229" spans="1:9" x14ac:dyDescent="0.2">
      <c r="A229" s="2">
        <v>3</v>
      </c>
      <c r="B229" s="1" t="s">
        <v>172</v>
      </c>
      <c r="C229" s="4">
        <v>129</v>
      </c>
      <c r="D229" s="8">
        <v>2.76</v>
      </c>
      <c r="E229" s="4">
        <v>103</v>
      </c>
      <c r="F229" s="8">
        <v>6.06</v>
      </c>
      <c r="G229" s="4">
        <v>26</v>
      </c>
      <c r="H229" s="8">
        <v>0.89</v>
      </c>
      <c r="I229" s="4">
        <v>0</v>
      </c>
    </row>
    <row r="230" spans="1:9" x14ac:dyDescent="0.2">
      <c r="A230" s="2">
        <v>4</v>
      </c>
      <c r="B230" s="1" t="s">
        <v>166</v>
      </c>
      <c r="C230" s="4">
        <v>115</v>
      </c>
      <c r="D230" s="8">
        <v>2.46</v>
      </c>
      <c r="E230" s="4">
        <v>97</v>
      </c>
      <c r="F230" s="8">
        <v>5.71</v>
      </c>
      <c r="G230" s="4">
        <v>18</v>
      </c>
      <c r="H230" s="8">
        <v>0.62</v>
      </c>
      <c r="I230" s="4">
        <v>0</v>
      </c>
    </row>
    <row r="231" spans="1:9" x14ac:dyDescent="0.2">
      <c r="A231" s="2">
        <v>5</v>
      </c>
      <c r="B231" s="1" t="s">
        <v>169</v>
      </c>
      <c r="C231" s="4">
        <v>110</v>
      </c>
      <c r="D231" s="8">
        <v>2.35</v>
      </c>
      <c r="E231" s="4">
        <v>102</v>
      </c>
      <c r="F231" s="8">
        <v>6</v>
      </c>
      <c r="G231" s="4">
        <v>8</v>
      </c>
      <c r="H231" s="8">
        <v>0.27</v>
      </c>
      <c r="I231" s="4">
        <v>0</v>
      </c>
    </row>
    <row r="232" spans="1:9" x14ac:dyDescent="0.2">
      <c r="A232" s="2">
        <v>6</v>
      </c>
      <c r="B232" s="1" t="s">
        <v>167</v>
      </c>
      <c r="C232" s="4">
        <v>109</v>
      </c>
      <c r="D232" s="8">
        <v>2.33</v>
      </c>
      <c r="E232" s="4">
        <v>101</v>
      </c>
      <c r="F232" s="8">
        <v>5.94</v>
      </c>
      <c r="G232" s="4">
        <v>8</v>
      </c>
      <c r="H232" s="8">
        <v>0.27</v>
      </c>
      <c r="I232" s="4">
        <v>0</v>
      </c>
    </row>
    <row r="233" spans="1:9" x14ac:dyDescent="0.2">
      <c r="A233" s="2">
        <v>7</v>
      </c>
      <c r="B233" s="1" t="s">
        <v>163</v>
      </c>
      <c r="C233" s="4">
        <v>101</v>
      </c>
      <c r="D233" s="8">
        <v>2.16</v>
      </c>
      <c r="E233" s="4">
        <v>9</v>
      </c>
      <c r="F233" s="8">
        <v>0.53</v>
      </c>
      <c r="G233" s="4">
        <v>92</v>
      </c>
      <c r="H233" s="8">
        <v>3.14</v>
      </c>
      <c r="I233" s="4">
        <v>0</v>
      </c>
    </row>
    <row r="234" spans="1:9" x14ac:dyDescent="0.2">
      <c r="A234" s="2">
        <v>8</v>
      </c>
      <c r="B234" s="1" t="s">
        <v>171</v>
      </c>
      <c r="C234" s="4">
        <v>93</v>
      </c>
      <c r="D234" s="8">
        <v>1.99</v>
      </c>
      <c r="E234" s="4">
        <v>62</v>
      </c>
      <c r="F234" s="8">
        <v>3.65</v>
      </c>
      <c r="G234" s="4">
        <v>31</v>
      </c>
      <c r="H234" s="8">
        <v>1.06</v>
      </c>
      <c r="I234" s="4">
        <v>0</v>
      </c>
    </row>
    <row r="235" spans="1:9" x14ac:dyDescent="0.2">
      <c r="A235" s="2">
        <v>9</v>
      </c>
      <c r="B235" s="1" t="s">
        <v>158</v>
      </c>
      <c r="C235" s="4">
        <v>82</v>
      </c>
      <c r="D235" s="8">
        <v>1.75</v>
      </c>
      <c r="E235" s="4">
        <v>50</v>
      </c>
      <c r="F235" s="8">
        <v>2.94</v>
      </c>
      <c r="G235" s="4">
        <v>32</v>
      </c>
      <c r="H235" s="8">
        <v>1.0900000000000001</v>
      </c>
      <c r="I235" s="4">
        <v>0</v>
      </c>
    </row>
    <row r="236" spans="1:9" x14ac:dyDescent="0.2">
      <c r="A236" s="2">
        <v>10</v>
      </c>
      <c r="B236" s="1" t="s">
        <v>154</v>
      </c>
      <c r="C236" s="4">
        <v>81</v>
      </c>
      <c r="D236" s="8">
        <v>1.73</v>
      </c>
      <c r="E236" s="4">
        <v>6</v>
      </c>
      <c r="F236" s="8">
        <v>0.35</v>
      </c>
      <c r="G236" s="4">
        <v>75</v>
      </c>
      <c r="H236" s="8">
        <v>2.56</v>
      </c>
      <c r="I236" s="4">
        <v>0</v>
      </c>
    </row>
    <row r="237" spans="1:9" x14ac:dyDescent="0.2">
      <c r="A237" s="2">
        <v>10</v>
      </c>
      <c r="B237" s="1" t="s">
        <v>162</v>
      </c>
      <c r="C237" s="4">
        <v>81</v>
      </c>
      <c r="D237" s="8">
        <v>1.73</v>
      </c>
      <c r="E237" s="4">
        <v>11</v>
      </c>
      <c r="F237" s="8">
        <v>0.65</v>
      </c>
      <c r="G237" s="4">
        <v>70</v>
      </c>
      <c r="H237" s="8">
        <v>2.39</v>
      </c>
      <c r="I237" s="4">
        <v>0</v>
      </c>
    </row>
    <row r="238" spans="1:9" x14ac:dyDescent="0.2">
      <c r="A238" s="2">
        <v>12</v>
      </c>
      <c r="B238" s="1" t="s">
        <v>161</v>
      </c>
      <c r="C238" s="4">
        <v>76</v>
      </c>
      <c r="D238" s="8">
        <v>1.62</v>
      </c>
      <c r="E238" s="4">
        <v>48</v>
      </c>
      <c r="F238" s="8">
        <v>2.82</v>
      </c>
      <c r="G238" s="4">
        <v>28</v>
      </c>
      <c r="H238" s="8">
        <v>0.96</v>
      </c>
      <c r="I238" s="4">
        <v>0</v>
      </c>
    </row>
    <row r="239" spans="1:9" x14ac:dyDescent="0.2">
      <c r="A239" s="2">
        <v>13</v>
      </c>
      <c r="B239" s="1" t="s">
        <v>168</v>
      </c>
      <c r="C239" s="4">
        <v>72</v>
      </c>
      <c r="D239" s="8">
        <v>1.54</v>
      </c>
      <c r="E239" s="4">
        <v>64</v>
      </c>
      <c r="F239" s="8">
        <v>3.76</v>
      </c>
      <c r="G239" s="4">
        <v>8</v>
      </c>
      <c r="H239" s="8">
        <v>0.27</v>
      </c>
      <c r="I239" s="4">
        <v>0</v>
      </c>
    </row>
    <row r="240" spans="1:9" x14ac:dyDescent="0.2">
      <c r="A240" s="2">
        <v>14</v>
      </c>
      <c r="B240" s="1" t="s">
        <v>155</v>
      </c>
      <c r="C240" s="4">
        <v>68</v>
      </c>
      <c r="D240" s="8">
        <v>1.45</v>
      </c>
      <c r="E240" s="4">
        <v>8</v>
      </c>
      <c r="F240" s="8">
        <v>0.47</v>
      </c>
      <c r="G240" s="4">
        <v>60</v>
      </c>
      <c r="H240" s="8">
        <v>2.0499999999999998</v>
      </c>
      <c r="I240" s="4">
        <v>0</v>
      </c>
    </row>
    <row r="241" spans="1:9" x14ac:dyDescent="0.2">
      <c r="A241" s="2">
        <v>15</v>
      </c>
      <c r="B241" s="1" t="s">
        <v>182</v>
      </c>
      <c r="C241" s="4">
        <v>67</v>
      </c>
      <c r="D241" s="8">
        <v>1.43</v>
      </c>
      <c r="E241" s="4">
        <v>21</v>
      </c>
      <c r="F241" s="8">
        <v>1.24</v>
      </c>
      <c r="G241" s="4">
        <v>46</v>
      </c>
      <c r="H241" s="8">
        <v>1.57</v>
      </c>
      <c r="I241" s="4">
        <v>0</v>
      </c>
    </row>
    <row r="242" spans="1:9" x14ac:dyDescent="0.2">
      <c r="A242" s="2">
        <v>16</v>
      </c>
      <c r="B242" s="1" t="s">
        <v>159</v>
      </c>
      <c r="C242" s="4">
        <v>66</v>
      </c>
      <c r="D242" s="8">
        <v>1.41</v>
      </c>
      <c r="E242" s="4">
        <v>30</v>
      </c>
      <c r="F242" s="8">
        <v>1.76</v>
      </c>
      <c r="G242" s="4">
        <v>36</v>
      </c>
      <c r="H242" s="8">
        <v>1.23</v>
      </c>
      <c r="I242" s="4">
        <v>0</v>
      </c>
    </row>
    <row r="243" spans="1:9" x14ac:dyDescent="0.2">
      <c r="A243" s="2">
        <v>17</v>
      </c>
      <c r="B243" s="1" t="s">
        <v>160</v>
      </c>
      <c r="C243" s="4">
        <v>65</v>
      </c>
      <c r="D243" s="8">
        <v>1.39</v>
      </c>
      <c r="E243" s="4">
        <v>18</v>
      </c>
      <c r="F243" s="8">
        <v>1.06</v>
      </c>
      <c r="G243" s="4">
        <v>47</v>
      </c>
      <c r="H243" s="8">
        <v>1.61</v>
      </c>
      <c r="I243" s="4">
        <v>0</v>
      </c>
    </row>
    <row r="244" spans="1:9" x14ac:dyDescent="0.2">
      <c r="A244" s="2">
        <v>18</v>
      </c>
      <c r="B244" s="1" t="s">
        <v>185</v>
      </c>
      <c r="C244" s="4">
        <v>63</v>
      </c>
      <c r="D244" s="8">
        <v>1.35</v>
      </c>
      <c r="E244" s="4">
        <v>4</v>
      </c>
      <c r="F244" s="8">
        <v>0.24</v>
      </c>
      <c r="G244" s="4">
        <v>59</v>
      </c>
      <c r="H244" s="8">
        <v>2.02</v>
      </c>
      <c r="I244" s="4">
        <v>0</v>
      </c>
    </row>
    <row r="245" spans="1:9" x14ac:dyDescent="0.2">
      <c r="A245" s="2">
        <v>19</v>
      </c>
      <c r="B245" s="1" t="s">
        <v>191</v>
      </c>
      <c r="C245" s="4">
        <v>62</v>
      </c>
      <c r="D245" s="8">
        <v>1.33</v>
      </c>
      <c r="E245" s="4">
        <v>7</v>
      </c>
      <c r="F245" s="8">
        <v>0.41</v>
      </c>
      <c r="G245" s="4">
        <v>55</v>
      </c>
      <c r="H245" s="8">
        <v>1.88</v>
      </c>
      <c r="I245" s="4">
        <v>0</v>
      </c>
    </row>
    <row r="246" spans="1:9" x14ac:dyDescent="0.2">
      <c r="A246" s="2">
        <v>20</v>
      </c>
      <c r="B246" s="1" t="s">
        <v>174</v>
      </c>
      <c r="C246" s="4">
        <v>59</v>
      </c>
      <c r="D246" s="8">
        <v>1.26</v>
      </c>
      <c r="E246" s="4">
        <v>9</v>
      </c>
      <c r="F246" s="8">
        <v>0.53</v>
      </c>
      <c r="G246" s="4">
        <v>50</v>
      </c>
      <c r="H246" s="8">
        <v>1.71</v>
      </c>
      <c r="I246" s="4">
        <v>0</v>
      </c>
    </row>
    <row r="247" spans="1:9" x14ac:dyDescent="0.2">
      <c r="A247" s="2">
        <v>20</v>
      </c>
      <c r="B247" s="1" t="s">
        <v>192</v>
      </c>
      <c r="C247" s="4">
        <v>59</v>
      </c>
      <c r="D247" s="8">
        <v>1.26</v>
      </c>
      <c r="E247" s="4">
        <v>5</v>
      </c>
      <c r="F247" s="8">
        <v>0.28999999999999998</v>
      </c>
      <c r="G247" s="4">
        <v>54</v>
      </c>
      <c r="H247" s="8">
        <v>1.85</v>
      </c>
      <c r="I247" s="4">
        <v>0</v>
      </c>
    </row>
    <row r="248" spans="1:9" x14ac:dyDescent="0.2">
      <c r="A248" s="1"/>
      <c r="C248" s="4"/>
      <c r="D248" s="8"/>
      <c r="E248" s="4"/>
      <c r="F248" s="8"/>
      <c r="G248" s="4"/>
      <c r="H248" s="8"/>
      <c r="I248" s="4"/>
    </row>
    <row r="249" spans="1:9" x14ac:dyDescent="0.2">
      <c r="A249" s="1" t="s">
        <v>11</v>
      </c>
      <c r="C249" s="4"/>
      <c r="D249" s="8"/>
      <c r="E249" s="4"/>
      <c r="F249" s="8"/>
      <c r="G249" s="4"/>
      <c r="H249" s="8"/>
      <c r="I249" s="4"/>
    </row>
    <row r="250" spans="1:9" x14ac:dyDescent="0.2">
      <c r="A250" s="2">
        <v>1</v>
      </c>
      <c r="B250" s="1" t="s">
        <v>168</v>
      </c>
      <c r="C250" s="4">
        <v>609</v>
      </c>
      <c r="D250" s="8">
        <v>5.92</v>
      </c>
      <c r="E250" s="4">
        <v>511</v>
      </c>
      <c r="F250" s="8">
        <v>18.23</v>
      </c>
      <c r="G250" s="4">
        <v>98</v>
      </c>
      <c r="H250" s="8">
        <v>1.32</v>
      </c>
      <c r="I250" s="4">
        <v>0</v>
      </c>
    </row>
    <row r="251" spans="1:9" x14ac:dyDescent="0.2">
      <c r="A251" s="2">
        <v>2</v>
      </c>
      <c r="B251" s="1" t="s">
        <v>167</v>
      </c>
      <c r="C251" s="4">
        <v>314</v>
      </c>
      <c r="D251" s="8">
        <v>3.05</v>
      </c>
      <c r="E251" s="4">
        <v>256</v>
      </c>
      <c r="F251" s="8">
        <v>9.1300000000000008</v>
      </c>
      <c r="G251" s="4">
        <v>58</v>
      </c>
      <c r="H251" s="8">
        <v>0.78</v>
      </c>
      <c r="I251" s="4">
        <v>0</v>
      </c>
    </row>
    <row r="252" spans="1:9" x14ac:dyDescent="0.2">
      <c r="A252" s="2">
        <v>3</v>
      </c>
      <c r="B252" s="1" t="s">
        <v>164</v>
      </c>
      <c r="C252" s="4">
        <v>300</v>
      </c>
      <c r="D252" s="8">
        <v>2.92</v>
      </c>
      <c r="E252" s="4">
        <v>59</v>
      </c>
      <c r="F252" s="8">
        <v>2.1</v>
      </c>
      <c r="G252" s="4">
        <v>238</v>
      </c>
      <c r="H252" s="8">
        <v>3.21</v>
      </c>
      <c r="I252" s="4">
        <v>0</v>
      </c>
    </row>
    <row r="253" spans="1:9" x14ac:dyDescent="0.2">
      <c r="A253" s="2">
        <v>4</v>
      </c>
      <c r="B253" s="1" t="s">
        <v>184</v>
      </c>
      <c r="C253" s="4">
        <v>286</v>
      </c>
      <c r="D253" s="8">
        <v>2.78</v>
      </c>
      <c r="E253" s="4">
        <v>5</v>
      </c>
      <c r="F253" s="8">
        <v>0.18</v>
      </c>
      <c r="G253" s="4">
        <v>281</v>
      </c>
      <c r="H253" s="8">
        <v>3.79</v>
      </c>
      <c r="I253" s="4">
        <v>0</v>
      </c>
    </row>
    <row r="254" spans="1:9" x14ac:dyDescent="0.2">
      <c r="A254" s="2">
        <v>5</v>
      </c>
      <c r="B254" s="1" t="s">
        <v>185</v>
      </c>
      <c r="C254" s="4">
        <v>252</v>
      </c>
      <c r="D254" s="8">
        <v>2.4500000000000002</v>
      </c>
      <c r="E254" s="4">
        <v>10</v>
      </c>
      <c r="F254" s="8">
        <v>0.36</v>
      </c>
      <c r="G254" s="4">
        <v>241</v>
      </c>
      <c r="H254" s="8">
        <v>3.25</v>
      </c>
      <c r="I254" s="4">
        <v>1</v>
      </c>
    </row>
    <row r="255" spans="1:9" x14ac:dyDescent="0.2">
      <c r="A255" s="2">
        <v>6</v>
      </c>
      <c r="B255" s="1" t="s">
        <v>166</v>
      </c>
      <c r="C255" s="4">
        <v>250</v>
      </c>
      <c r="D255" s="8">
        <v>2.4300000000000002</v>
      </c>
      <c r="E255" s="4">
        <v>174</v>
      </c>
      <c r="F255" s="8">
        <v>6.21</v>
      </c>
      <c r="G255" s="4">
        <v>76</v>
      </c>
      <c r="H255" s="8">
        <v>1.03</v>
      </c>
      <c r="I255" s="4">
        <v>0</v>
      </c>
    </row>
    <row r="256" spans="1:9" x14ac:dyDescent="0.2">
      <c r="A256" s="2">
        <v>7</v>
      </c>
      <c r="B256" s="1" t="s">
        <v>196</v>
      </c>
      <c r="C256" s="4">
        <v>243</v>
      </c>
      <c r="D256" s="8">
        <v>2.36</v>
      </c>
      <c r="E256" s="4">
        <v>1</v>
      </c>
      <c r="F256" s="8">
        <v>0.04</v>
      </c>
      <c r="G256" s="4">
        <v>242</v>
      </c>
      <c r="H256" s="8">
        <v>3.27</v>
      </c>
      <c r="I256" s="4">
        <v>0</v>
      </c>
    </row>
    <row r="257" spans="1:9" x14ac:dyDescent="0.2">
      <c r="A257" s="2">
        <v>8</v>
      </c>
      <c r="B257" s="1" t="s">
        <v>163</v>
      </c>
      <c r="C257" s="4">
        <v>231</v>
      </c>
      <c r="D257" s="8">
        <v>2.25</v>
      </c>
      <c r="E257" s="4">
        <v>14</v>
      </c>
      <c r="F257" s="8">
        <v>0.5</v>
      </c>
      <c r="G257" s="4">
        <v>217</v>
      </c>
      <c r="H257" s="8">
        <v>2.93</v>
      </c>
      <c r="I257" s="4">
        <v>0</v>
      </c>
    </row>
    <row r="258" spans="1:9" x14ac:dyDescent="0.2">
      <c r="A258" s="2">
        <v>9</v>
      </c>
      <c r="B258" s="1" t="s">
        <v>193</v>
      </c>
      <c r="C258" s="4">
        <v>222</v>
      </c>
      <c r="D258" s="8">
        <v>2.16</v>
      </c>
      <c r="E258" s="4">
        <v>1</v>
      </c>
      <c r="F258" s="8">
        <v>0.04</v>
      </c>
      <c r="G258" s="4">
        <v>221</v>
      </c>
      <c r="H258" s="8">
        <v>2.98</v>
      </c>
      <c r="I258" s="4">
        <v>0</v>
      </c>
    </row>
    <row r="259" spans="1:9" x14ac:dyDescent="0.2">
      <c r="A259" s="2">
        <v>10</v>
      </c>
      <c r="B259" s="1" t="s">
        <v>165</v>
      </c>
      <c r="C259" s="4">
        <v>218</v>
      </c>
      <c r="D259" s="8">
        <v>2.12</v>
      </c>
      <c r="E259" s="4">
        <v>16</v>
      </c>
      <c r="F259" s="8">
        <v>0.56999999999999995</v>
      </c>
      <c r="G259" s="4">
        <v>202</v>
      </c>
      <c r="H259" s="8">
        <v>2.73</v>
      </c>
      <c r="I259" s="4">
        <v>0</v>
      </c>
    </row>
    <row r="260" spans="1:9" x14ac:dyDescent="0.2">
      <c r="A260" s="2">
        <v>11</v>
      </c>
      <c r="B260" s="1" t="s">
        <v>190</v>
      </c>
      <c r="C260" s="4">
        <v>201</v>
      </c>
      <c r="D260" s="8">
        <v>1.95</v>
      </c>
      <c r="E260" s="4">
        <v>8</v>
      </c>
      <c r="F260" s="8">
        <v>0.28999999999999998</v>
      </c>
      <c r="G260" s="4">
        <v>186</v>
      </c>
      <c r="H260" s="8">
        <v>2.5099999999999998</v>
      </c>
      <c r="I260" s="4">
        <v>6</v>
      </c>
    </row>
    <row r="261" spans="1:9" x14ac:dyDescent="0.2">
      <c r="A261" s="2">
        <v>12</v>
      </c>
      <c r="B261" s="1" t="s">
        <v>170</v>
      </c>
      <c r="C261" s="4">
        <v>194</v>
      </c>
      <c r="D261" s="8">
        <v>1.89</v>
      </c>
      <c r="E261" s="4">
        <v>151</v>
      </c>
      <c r="F261" s="8">
        <v>5.39</v>
      </c>
      <c r="G261" s="4">
        <v>43</v>
      </c>
      <c r="H261" s="8">
        <v>0.57999999999999996</v>
      </c>
      <c r="I261" s="4">
        <v>0</v>
      </c>
    </row>
    <row r="262" spans="1:9" x14ac:dyDescent="0.2">
      <c r="A262" s="2">
        <v>13</v>
      </c>
      <c r="B262" s="1" t="s">
        <v>162</v>
      </c>
      <c r="C262" s="4">
        <v>173</v>
      </c>
      <c r="D262" s="8">
        <v>1.68</v>
      </c>
      <c r="E262" s="4">
        <v>18</v>
      </c>
      <c r="F262" s="8">
        <v>0.64</v>
      </c>
      <c r="G262" s="4">
        <v>155</v>
      </c>
      <c r="H262" s="8">
        <v>2.09</v>
      </c>
      <c r="I262" s="4">
        <v>0</v>
      </c>
    </row>
    <row r="263" spans="1:9" x14ac:dyDescent="0.2">
      <c r="A263" s="2">
        <v>14</v>
      </c>
      <c r="B263" s="1" t="s">
        <v>191</v>
      </c>
      <c r="C263" s="4">
        <v>162</v>
      </c>
      <c r="D263" s="8">
        <v>1.57</v>
      </c>
      <c r="E263" s="4">
        <v>6</v>
      </c>
      <c r="F263" s="8">
        <v>0.21</v>
      </c>
      <c r="G263" s="4">
        <v>156</v>
      </c>
      <c r="H263" s="8">
        <v>2.11</v>
      </c>
      <c r="I263" s="4">
        <v>0</v>
      </c>
    </row>
    <row r="264" spans="1:9" x14ac:dyDescent="0.2">
      <c r="A264" s="2">
        <v>15</v>
      </c>
      <c r="B264" s="1" t="s">
        <v>172</v>
      </c>
      <c r="C264" s="4">
        <v>143</v>
      </c>
      <c r="D264" s="8">
        <v>1.39</v>
      </c>
      <c r="E264" s="4">
        <v>116</v>
      </c>
      <c r="F264" s="8">
        <v>4.1399999999999997</v>
      </c>
      <c r="G264" s="4">
        <v>27</v>
      </c>
      <c r="H264" s="8">
        <v>0.36</v>
      </c>
      <c r="I264" s="4">
        <v>0</v>
      </c>
    </row>
    <row r="265" spans="1:9" x14ac:dyDescent="0.2">
      <c r="A265" s="2">
        <v>16</v>
      </c>
      <c r="B265" s="1" t="s">
        <v>158</v>
      </c>
      <c r="C265" s="4">
        <v>140</v>
      </c>
      <c r="D265" s="8">
        <v>1.36</v>
      </c>
      <c r="E265" s="4">
        <v>64</v>
      </c>
      <c r="F265" s="8">
        <v>2.2799999999999998</v>
      </c>
      <c r="G265" s="4">
        <v>76</v>
      </c>
      <c r="H265" s="8">
        <v>1.03</v>
      </c>
      <c r="I265" s="4">
        <v>0</v>
      </c>
    </row>
    <row r="266" spans="1:9" x14ac:dyDescent="0.2">
      <c r="A266" s="2">
        <v>17</v>
      </c>
      <c r="B266" s="1" t="s">
        <v>197</v>
      </c>
      <c r="C266" s="4">
        <v>129</v>
      </c>
      <c r="D266" s="8">
        <v>1.25</v>
      </c>
      <c r="E266" s="4">
        <v>6</v>
      </c>
      <c r="F266" s="8">
        <v>0.21</v>
      </c>
      <c r="G266" s="4">
        <v>123</v>
      </c>
      <c r="H266" s="8">
        <v>1.66</v>
      </c>
      <c r="I266" s="4">
        <v>0</v>
      </c>
    </row>
    <row r="267" spans="1:9" x14ac:dyDescent="0.2">
      <c r="A267" s="2">
        <v>18</v>
      </c>
      <c r="B267" s="1" t="s">
        <v>194</v>
      </c>
      <c r="C267" s="4">
        <v>128</v>
      </c>
      <c r="D267" s="8">
        <v>1.24</v>
      </c>
      <c r="E267" s="4">
        <v>5</v>
      </c>
      <c r="F267" s="8">
        <v>0.18</v>
      </c>
      <c r="G267" s="4">
        <v>123</v>
      </c>
      <c r="H267" s="8">
        <v>1.66</v>
      </c>
      <c r="I267" s="4">
        <v>0</v>
      </c>
    </row>
    <row r="268" spans="1:9" x14ac:dyDescent="0.2">
      <c r="A268" s="2">
        <v>18</v>
      </c>
      <c r="B268" s="1" t="s">
        <v>195</v>
      </c>
      <c r="C268" s="4">
        <v>128</v>
      </c>
      <c r="D268" s="8">
        <v>1.24</v>
      </c>
      <c r="E268" s="4">
        <v>1</v>
      </c>
      <c r="F268" s="8">
        <v>0.04</v>
      </c>
      <c r="G268" s="4">
        <v>127</v>
      </c>
      <c r="H268" s="8">
        <v>1.71</v>
      </c>
      <c r="I268" s="4">
        <v>0</v>
      </c>
    </row>
    <row r="269" spans="1:9" x14ac:dyDescent="0.2">
      <c r="A269" s="2">
        <v>18</v>
      </c>
      <c r="B269" s="1" t="s">
        <v>161</v>
      </c>
      <c r="C269" s="4">
        <v>128</v>
      </c>
      <c r="D269" s="8">
        <v>1.24</v>
      </c>
      <c r="E269" s="4">
        <v>59</v>
      </c>
      <c r="F269" s="8">
        <v>2.1</v>
      </c>
      <c r="G269" s="4">
        <v>69</v>
      </c>
      <c r="H269" s="8">
        <v>0.93</v>
      </c>
      <c r="I269" s="4">
        <v>0</v>
      </c>
    </row>
    <row r="270" spans="1:9" x14ac:dyDescent="0.2">
      <c r="A270" s="1"/>
      <c r="C270" s="4"/>
      <c r="D270" s="8"/>
      <c r="E270" s="4"/>
      <c r="F270" s="8"/>
      <c r="G270" s="4"/>
      <c r="H270" s="8"/>
      <c r="I270" s="4"/>
    </row>
    <row r="271" spans="1:9" x14ac:dyDescent="0.2">
      <c r="A271" s="1" t="s">
        <v>12</v>
      </c>
      <c r="C271" s="4"/>
      <c r="D271" s="8"/>
      <c r="E271" s="4"/>
      <c r="F271" s="8"/>
      <c r="G271" s="4"/>
      <c r="H271" s="8"/>
      <c r="I271" s="4"/>
    </row>
    <row r="272" spans="1:9" x14ac:dyDescent="0.2">
      <c r="A272" s="2">
        <v>1</v>
      </c>
      <c r="B272" s="1" t="s">
        <v>166</v>
      </c>
      <c r="C272" s="4">
        <v>500</v>
      </c>
      <c r="D272" s="8">
        <v>5.04</v>
      </c>
      <c r="E272" s="4">
        <v>371</v>
      </c>
      <c r="F272" s="8">
        <v>9.3699999999999992</v>
      </c>
      <c r="G272" s="4">
        <v>129</v>
      </c>
      <c r="H272" s="8">
        <v>2.1800000000000002</v>
      </c>
      <c r="I272" s="4">
        <v>0</v>
      </c>
    </row>
    <row r="273" spans="1:9" x14ac:dyDescent="0.2">
      <c r="A273" s="2">
        <v>2</v>
      </c>
      <c r="B273" s="1" t="s">
        <v>170</v>
      </c>
      <c r="C273" s="4">
        <v>465</v>
      </c>
      <c r="D273" s="8">
        <v>4.6900000000000004</v>
      </c>
      <c r="E273" s="4">
        <v>357</v>
      </c>
      <c r="F273" s="8">
        <v>9.01</v>
      </c>
      <c r="G273" s="4">
        <v>108</v>
      </c>
      <c r="H273" s="8">
        <v>1.82</v>
      </c>
      <c r="I273" s="4">
        <v>0</v>
      </c>
    </row>
    <row r="274" spans="1:9" x14ac:dyDescent="0.2">
      <c r="A274" s="2">
        <v>3</v>
      </c>
      <c r="B274" s="1" t="s">
        <v>167</v>
      </c>
      <c r="C274" s="4">
        <v>408</v>
      </c>
      <c r="D274" s="8">
        <v>4.1100000000000003</v>
      </c>
      <c r="E274" s="4">
        <v>336</v>
      </c>
      <c r="F274" s="8">
        <v>8.48</v>
      </c>
      <c r="G274" s="4">
        <v>72</v>
      </c>
      <c r="H274" s="8">
        <v>1.22</v>
      </c>
      <c r="I274" s="4">
        <v>0</v>
      </c>
    </row>
    <row r="275" spans="1:9" x14ac:dyDescent="0.2">
      <c r="A275" s="2">
        <v>4</v>
      </c>
      <c r="B275" s="1" t="s">
        <v>168</v>
      </c>
      <c r="C275" s="4">
        <v>373</v>
      </c>
      <c r="D275" s="8">
        <v>3.76</v>
      </c>
      <c r="E275" s="4">
        <v>326</v>
      </c>
      <c r="F275" s="8">
        <v>8.23</v>
      </c>
      <c r="G275" s="4">
        <v>47</v>
      </c>
      <c r="H275" s="8">
        <v>0.79</v>
      </c>
      <c r="I275" s="4">
        <v>0</v>
      </c>
    </row>
    <row r="276" spans="1:9" x14ac:dyDescent="0.2">
      <c r="A276" s="2">
        <v>5</v>
      </c>
      <c r="B276" s="1" t="s">
        <v>164</v>
      </c>
      <c r="C276" s="4">
        <v>362</v>
      </c>
      <c r="D276" s="8">
        <v>3.65</v>
      </c>
      <c r="E276" s="4">
        <v>69</v>
      </c>
      <c r="F276" s="8">
        <v>1.74</v>
      </c>
      <c r="G276" s="4">
        <v>293</v>
      </c>
      <c r="H276" s="8">
        <v>4.95</v>
      </c>
      <c r="I276" s="4">
        <v>0</v>
      </c>
    </row>
    <row r="277" spans="1:9" x14ac:dyDescent="0.2">
      <c r="A277" s="2">
        <v>6</v>
      </c>
      <c r="B277" s="1" t="s">
        <v>163</v>
      </c>
      <c r="C277" s="4">
        <v>259</v>
      </c>
      <c r="D277" s="8">
        <v>2.61</v>
      </c>
      <c r="E277" s="4">
        <v>36</v>
      </c>
      <c r="F277" s="8">
        <v>0.91</v>
      </c>
      <c r="G277" s="4">
        <v>222</v>
      </c>
      <c r="H277" s="8">
        <v>3.75</v>
      </c>
      <c r="I277" s="4">
        <v>1</v>
      </c>
    </row>
    <row r="278" spans="1:9" x14ac:dyDescent="0.2">
      <c r="A278" s="2">
        <v>7</v>
      </c>
      <c r="B278" s="1" t="s">
        <v>171</v>
      </c>
      <c r="C278" s="4">
        <v>242</v>
      </c>
      <c r="D278" s="8">
        <v>2.44</v>
      </c>
      <c r="E278" s="4">
        <v>155</v>
      </c>
      <c r="F278" s="8">
        <v>3.91</v>
      </c>
      <c r="G278" s="4">
        <v>86</v>
      </c>
      <c r="H278" s="8">
        <v>1.45</v>
      </c>
      <c r="I278" s="4">
        <v>1</v>
      </c>
    </row>
    <row r="279" spans="1:9" x14ac:dyDescent="0.2">
      <c r="A279" s="2">
        <v>8</v>
      </c>
      <c r="B279" s="1" t="s">
        <v>157</v>
      </c>
      <c r="C279" s="4">
        <v>239</v>
      </c>
      <c r="D279" s="8">
        <v>2.41</v>
      </c>
      <c r="E279" s="4">
        <v>69</v>
      </c>
      <c r="F279" s="8">
        <v>1.74</v>
      </c>
      <c r="G279" s="4">
        <v>170</v>
      </c>
      <c r="H279" s="8">
        <v>2.87</v>
      </c>
      <c r="I279" s="4">
        <v>0</v>
      </c>
    </row>
    <row r="280" spans="1:9" x14ac:dyDescent="0.2">
      <c r="A280" s="2">
        <v>8</v>
      </c>
      <c r="B280" s="1" t="s">
        <v>172</v>
      </c>
      <c r="C280" s="4">
        <v>239</v>
      </c>
      <c r="D280" s="8">
        <v>2.41</v>
      </c>
      <c r="E280" s="4">
        <v>190</v>
      </c>
      <c r="F280" s="8">
        <v>4.8</v>
      </c>
      <c r="G280" s="4">
        <v>49</v>
      </c>
      <c r="H280" s="8">
        <v>0.83</v>
      </c>
      <c r="I280" s="4">
        <v>0</v>
      </c>
    </row>
    <row r="281" spans="1:9" x14ac:dyDescent="0.2">
      <c r="A281" s="2">
        <v>10</v>
      </c>
      <c r="B281" s="1" t="s">
        <v>162</v>
      </c>
      <c r="C281" s="4">
        <v>230</v>
      </c>
      <c r="D281" s="8">
        <v>2.3199999999999998</v>
      </c>
      <c r="E281" s="4">
        <v>23</v>
      </c>
      <c r="F281" s="8">
        <v>0.57999999999999996</v>
      </c>
      <c r="G281" s="4">
        <v>207</v>
      </c>
      <c r="H281" s="8">
        <v>3.49</v>
      </c>
      <c r="I281" s="4">
        <v>0</v>
      </c>
    </row>
    <row r="282" spans="1:9" x14ac:dyDescent="0.2">
      <c r="A282" s="2">
        <v>11</v>
      </c>
      <c r="B282" s="1" t="s">
        <v>165</v>
      </c>
      <c r="C282" s="4">
        <v>219</v>
      </c>
      <c r="D282" s="8">
        <v>2.21</v>
      </c>
      <c r="E282" s="4">
        <v>51</v>
      </c>
      <c r="F282" s="8">
        <v>1.29</v>
      </c>
      <c r="G282" s="4">
        <v>168</v>
      </c>
      <c r="H282" s="8">
        <v>2.84</v>
      </c>
      <c r="I282" s="4">
        <v>0</v>
      </c>
    </row>
    <row r="283" spans="1:9" x14ac:dyDescent="0.2">
      <c r="A283" s="2">
        <v>12</v>
      </c>
      <c r="B283" s="1" t="s">
        <v>198</v>
      </c>
      <c r="C283" s="4">
        <v>217</v>
      </c>
      <c r="D283" s="8">
        <v>2.19</v>
      </c>
      <c r="E283" s="4">
        <v>205</v>
      </c>
      <c r="F283" s="8">
        <v>5.18</v>
      </c>
      <c r="G283" s="4">
        <v>12</v>
      </c>
      <c r="H283" s="8">
        <v>0.2</v>
      </c>
      <c r="I283" s="4">
        <v>0</v>
      </c>
    </row>
    <row r="284" spans="1:9" x14ac:dyDescent="0.2">
      <c r="A284" s="2">
        <v>13</v>
      </c>
      <c r="B284" s="1" t="s">
        <v>161</v>
      </c>
      <c r="C284" s="4">
        <v>214</v>
      </c>
      <c r="D284" s="8">
        <v>2.16</v>
      </c>
      <c r="E284" s="4">
        <v>111</v>
      </c>
      <c r="F284" s="8">
        <v>2.8</v>
      </c>
      <c r="G284" s="4">
        <v>103</v>
      </c>
      <c r="H284" s="8">
        <v>1.74</v>
      </c>
      <c r="I284" s="4">
        <v>0</v>
      </c>
    </row>
    <row r="285" spans="1:9" x14ac:dyDescent="0.2">
      <c r="A285" s="2">
        <v>14</v>
      </c>
      <c r="B285" s="1" t="s">
        <v>201</v>
      </c>
      <c r="C285" s="4">
        <v>199</v>
      </c>
      <c r="D285" s="8">
        <v>2.0099999999999998</v>
      </c>
      <c r="E285" s="4">
        <v>128</v>
      </c>
      <c r="F285" s="8">
        <v>3.23</v>
      </c>
      <c r="G285" s="4">
        <v>71</v>
      </c>
      <c r="H285" s="8">
        <v>1.2</v>
      </c>
      <c r="I285" s="4">
        <v>0</v>
      </c>
    </row>
    <row r="286" spans="1:9" x14ac:dyDescent="0.2">
      <c r="A286" s="2">
        <v>15</v>
      </c>
      <c r="B286" s="1" t="s">
        <v>190</v>
      </c>
      <c r="C286" s="4">
        <v>185</v>
      </c>
      <c r="D286" s="8">
        <v>1.87</v>
      </c>
      <c r="E286" s="4">
        <v>12</v>
      </c>
      <c r="F286" s="8">
        <v>0.3</v>
      </c>
      <c r="G286" s="4">
        <v>167</v>
      </c>
      <c r="H286" s="8">
        <v>2.82</v>
      </c>
      <c r="I286" s="4">
        <v>5</v>
      </c>
    </row>
    <row r="287" spans="1:9" x14ac:dyDescent="0.2">
      <c r="A287" s="2">
        <v>16</v>
      </c>
      <c r="B287" s="1" t="s">
        <v>200</v>
      </c>
      <c r="C287" s="4">
        <v>179</v>
      </c>
      <c r="D287" s="8">
        <v>1.8</v>
      </c>
      <c r="E287" s="4">
        <v>158</v>
      </c>
      <c r="F287" s="8">
        <v>3.99</v>
      </c>
      <c r="G287" s="4">
        <v>21</v>
      </c>
      <c r="H287" s="8">
        <v>0.35</v>
      </c>
      <c r="I287" s="4">
        <v>0</v>
      </c>
    </row>
    <row r="288" spans="1:9" x14ac:dyDescent="0.2">
      <c r="A288" s="2">
        <v>17</v>
      </c>
      <c r="B288" s="1" t="s">
        <v>189</v>
      </c>
      <c r="C288" s="4">
        <v>167</v>
      </c>
      <c r="D288" s="8">
        <v>1.68</v>
      </c>
      <c r="E288" s="4">
        <v>16</v>
      </c>
      <c r="F288" s="8">
        <v>0.4</v>
      </c>
      <c r="G288" s="4">
        <v>151</v>
      </c>
      <c r="H288" s="8">
        <v>2.5499999999999998</v>
      </c>
      <c r="I288" s="4">
        <v>0</v>
      </c>
    </row>
    <row r="289" spans="1:9" x14ac:dyDescent="0.2">
      <c r="A289" s="2">
        <v>18</v>
      </c>
      <c r="B289" s="1" t="s">
        <v>188</v>
      </c>
      <c r="C289" s="4">
        <v>157</v>
      </c>
      <c r="D289" s="8">
        <v>1.58</v>
      </c>
      <c r="E289" s="4">
        <v>8</v>
      </c>
      <c r="F289" s="8">
        <v>0.2</v>
      </c>
      <c r="G289" s="4">
        <v>148</v>
      </c>
      <c r="H289" s="8">
        <v>2.5</v>
      </c>
      <c r="I289" s="4">
        <v>1</v>
      </c>
    </row>
    <row r="290" spans="1:9" x14ac:dyDescent="0.2">
      <c r="A290" s="2">
        <v>19</v>
      </c>
      <c r="B290" s="1" t="s">
        <v>199</v>
      </c>
      <c r="C290" s="4">
        <v>153</v>
      </c>
      <c r="D290" s="8">
        <v>1.54</v>
      </c>
      <c r="E290" s="4">
        <v>148</v>
      </c>
      <c r="F290" s="8">
        <v>3.74</v>
      </c>
      <c r="G290" s="4">
        <v>5</v>
      </c>
      <c r="H290" s="8">
        <v>0.08</v>
      </c>
      <c r="I290" s="4">
        <v>0</v>
      </c>
    </row>
    <row r="291" spans="1:9" x14ac:dyDescent="0.2">
      <c r="A291" s="2">
        <v>20</v>
      </c>
      <c r="B291" s="1" t="s">
        <v>197</v>
      </c>
      <c r="C291" s="4">
        <v>147</v>
      </c>
      <c r="D291" s="8">
        <v>1.48</v>
      </c>
      <c r="E291" s="4">
        <v>9</v>
      </c>
      <c r="F291" s="8">
        <v>0.23</v>
      </c>
      <c r="G291" s="4">
        <v>138</v>
      </c>
      <c r="H291" s="8">
        <v>2.33</v>
      </c>
      <c r="I291" s="4">
        <v>0</v>
      </c>
    </row>
    <row r="292" spans="1:9" x14ac:dyDescent="0.2">
      <c r="A292" s="1"/>
      <c r="C292" s="4"/>
      <c r="D292" s="8"/>
      <c r="E292" s="4"/>
      <c r="F292" s="8"/>
      <c r="G292" s="4"/>
      <c r="H292" s="8"/>
      <c r="I292" s="4"/>
    </row>
    <row r="293" spans="1:9" x14ac:dyDescent="0.2">
      <c r="A293" s="1" t="s">
        <v>13</v>
      </c>
      <c r="C293" s="4"/>
      <c r="D293" s="8"/>
      <c r="E293" s="4"/>
      <c r="F293" s="8"/>
      <c r="G293" s="4"/>
      <c r="H293" s="8"/>
      <c r="I293" s="4"/>
    </row>
    <row r="294" spans="1:9" x14ac:dyDescent="0.2">
      <c r="A294" s="2">
        <v>1</v>
      </c>
      <c r="B294" s="1" t="s">
        <v>164</v>
      </c>
      <c r="C294" s="4">
        <v>377</v>
      </c>
      <c r="D294" s="8">
        <v>7.17</v>
      </c>
      <c r="E294" s="4">
        <v>141</v>
      </c>
      <c r="F294" s="8">
        <v>6.25</v>
      </c>
      <c r="G294" s="4">
        <v>236</v>
      </c>
      <c r="H294" s="8">
        <v>7.98</v>
      </c>
      <c r="I294" s="4">
        <v>0</v>
      </c>
    </row>
    <row r="295" spans="1:9" x14ac:dyDescent="0.2">
      <c r="A295" s="2">
        <v>2</v>
      </c>
      <c r="B295" s="1" t="s">
        <v>170</v>
      </c>
      <c r="C295" s="4">
        <v>266</v>
      </c>
      <c r="D295" s="8">
        <v>5.0599999999999996</v>
      </c>
      <c r="E295" s="4">
        <v>230</v>
      </c>
      <c r="F295" s="8">
        <v>10.199999999999999</v>
      </c>
      <c r="G295" s="4">
        <v>36</v>
      </c>
      <c r="H295" s="8">
        <v>1.22</v>
      </c>
      <c r="I295" s="4">
        <v>0</v>
      </c>
    </row>
    <row r="296" spans="1:9" x14ac:dyDescent="0.2">
      <c r="A296" s="2">
        <v>3</v>
      </c>
      <c r="B296" s="1" t="s">
        <v>167</v>
      </c>
      <c r="C296" s="4">
        <v>154</v>
      </c>
      <c r="D296" s="8">
        <v>2.93</v>
      </c>
      <c r="E296" s="4">
        <v>139</v>
      </c>
      <c r="F296" s="8">
        <v>6.16</v>
      </c>
      <c r="G296" s="4">
        <v>15</v>
      </c>
      <c r="H296" s="8">
        <v>0.51</v>
      </c>
      <c r="I296" s="4">
        <v>0</v>
      </c>
    </row>
    <row r="297" spans="1:9" x14ac:dyDescent="0.2">
      <c r="A297" s="2">
        <v>4</v>
      </c>
      <c r="B297" s="1" t="s">
        <v>165</v>
      </c>
      <c r="C297" s="4">
        <v>151</v>
      </c>
      <c r="D297" s="8">
        <v>2.87</v>
      </c>
      <c r="E297" s="4">
        <v>48</v>
      </c>
      <c r="F297" s="8">
        <v>2.13</v>
      </c>
      <c r="G297" s="4">
        <v>103</v>
      </c>
      <c r="H297" s="8">
        <v>3.48</v>
      </c>
      <c r="I297" s="4">
        <v>0</v>
      </c>
    </row>
    <row r="298" spans="1:9" x14ac:dyDescent="0.2">
      <c r="A298" s="2">
        <v>5</v>
      </c>
      <c r="B298" s="1" t="s">
        <v>172</v>
      </c>
      <c r="C298" s="4">
        <v>143</v>
      </c>
      <c r="D298" s="8">
        <v>2.72</v>
      </c>
      <c r="E298" s="4">
        <v>120</v>
      </c>
      <c r="F298" s="8">
        <v>5.32</v>
      </c>
      <c r="G298" s="4">
        <v>23</v>
      </c>
      <c r="H298" s="8">
        <v>0.78</v>
      </c>
      <c r="I298" s="4">
        <v>0</v>
      </c>
    </row>
    <row r="299" spans="1:9" x14ac:dyDescent="0.2">
      <c r="A299" s="2">
        <v>6</v>
      </c>
      <c r="B299" s="1" t="s">
        <v>171</v>
      </c>
      <c r="C299" s="4">
        <v>137</v>
      </c>
      <c r="D299" s="8">
        <v>2.61</v>
      </c>
      <c r="E299" s="4">
        <v>104</v>
      </c>
      <c r="F299" s="8">
        <v>4.6100000000000003</v>
      </c>
      <c r="G299" s="4">
        <v>33</v>
      </c>
      <c r="H299" s="8">
        <v>1.1200000000000001</v>
      </c>
      <c r="I299" s="4">
        <v>0</v>
      </c>
    </row>
    <row r="300" spans="1:9" x14ac:dyDescent="0.2">
      <c r="A300" s="2">
        <v>7</v>
      </c>
      <c r="B300" s="1" t="s">
        <v>166</v>
      </c>
      <c r="C300" s="4">
        <v>127</v>
      </c>
      <c r="D300" s="8">
        <v>2.42</v>
      </c>
      <c r="E300" s="4">
        <v>105</v>
      </c>
      <c r="F300" s="8">
        <v>4.66</v>
      </c>
      <c r="G300" s="4">
        <v>22</v>
      </c>
      <c r="H300" s="8">
        <v>0.74</v>
      </c>
      <c r="I300" s="4">
        <v>0</v>
      </c>
    </row>
    <row r="301" spans="1:9" x14ac:dyDescent="0.2">
      <c r="A301" s="2">
        <v>8</v>
      </c>
      <c r="B301" s="1" t="s">
        <v>169</v>
      </c>
      <c r="C301" s="4">
        <v>121</v>
      </c>
      <c r="D301" s="8">
        <v>2.2999999999999998</v>
      </c>
      <c r="E301" s="4">
        <v>114</v>
      </c>
      <c r="F301" s="8">
        <v>5.0599999999999996</v>
      </c>
      <c r="G301" s="4">
        <v>7</v>
      </c>
      <c r="H301" s="8">
        <v>0.24</v>
      </c>
      <c r="I301" s="4">
        <v>0</v>
      </c>
    </row>
    <row r="302" spans="1:9" x14ac:dyDescent="0.2">
      <c r="A302" s="2">
        <v>9</v>
      </c>
      <c r="B302" s="1" t="s">
        <v>163</v>
      </c>
      <c r="C302" s="4">
        <v>118</v>
      </c>
      <c r="D302" s="8">
        <v>2.2400000000000002</v>
      </c>
      <c r="E302" s="4">
        <v>24</v>
      </c>
      <c r="F302" s="8">
        <v>1.06</v>
      </c>
      <c r="G302" s="4">
        <v>93</v>
      </c>
      <c r="H302" s="8">
        <v>3.15</v>
      </c>
      <c r="I302" s="4">
        <v>1</v>
      </c>
    </row>
    <row r="303" spans="1:9" x14ac:dyDescent="0.2">
      <c r="A303" s="2">
        <v>10</v>
      </c>
      <c r="B303" s="1" t="s">
        <v>160</v>
      </c>
      <c r="C303" s="4">
        <v>112</v>
      </c>
      <c r="D303" s="8">
        <v>2.13</v>
      </c>
      <c r="E303" s="4">
        <v>30</v>
      </c>
      <c r="F303" s="8">
        <v>1.33</v>
      </c>
      <c r="G303" s="4">
        <v>82</v>
      </c>
      <c r="H303" s="8">
        <v>2.77</v>
      </c>
      <c r="I303" s="4">
        <v>0</v>
      </c>
    </row>
    <row r="304" spans="1:9" x14ac:dyDescent="0.2">
      <c r="A304" s="2">
        <v>11</v>
      </c>
      <c r="B304" s="1" t="s">
        <v>162</v>
      </c>
      <c r="C304" s="4">
        <v>108</v>
      </c>
      <c r="D304" s="8">
        <v>2.0499999999999998</v>
      </c>
      <c r="E304" s="4">
        <v>23</v>
      </c>
      <c r="F304" s="8">
        <v>1.02</v>
      </c>
      <c r="G304" s="4">
        <v>85</v>
      </c>
      <c r="H304" s="8">
        <v>2.87</v>
      </c>
      <c r="I304" s="4">
        <v>0</v>
      </c>
    </row>
    <row r="305" spans="1:9" x14ac:dyDescent="0.2">
      <c r="A305" s="2">
        <v>12</v>
      </c>
      <c r="B305" s="1" t="s">
        <v>155</v>
      </c>
      <c r="C305" s="4">
        <v>99</v>
      </c>
      <c r="D305" s="8">
        <v>1.88</v>
      </c>
      <c r="E305" s="4">
        <v>6</v>
      </c>
      <c r="F305" s="8">
        <v>0.27</v>
      </c>
      <c r="G305" s="4">
        <v>93</v>
      </c>
      <c r="H305" s="8">
        <v>3.15</v>
      </c>
      <c r="I305" s="4">
        <v>0</v>
      </c>
    </row>
    <row r="306" spans="1:9" x14ac:dyDescent="0.2">
      <c r="A306" s="2">
        <v>13</v>
      </c>
      <c r="B306" s="1" t="s">
        <v>168</v>
      </c>
      <c r="C306" s="4">
        <v>93</v>
      </c>
      <c r="D306" s="8">
        <v>1.77</v>
      </c>
      <c r="E306" s="4">
        <v>85</v>
      </c>
      <c r="F306" s="8">
        <v>3.77</v>
      </c>
      <c r="G306" s="4">
        <v>8</v>
      </c>
      <c r="H306" s="8">
        <v>0.27</v>
      </c>
      <c r="I306" s="4">
        <v>0</v>
      </c>
    </row>
    <row r="307" spans="1:9" x14ac:dyDescent="0.2">
      <c r="A307" s="2">
        <v>14</v>
      </c>
      <c r="B307" s="1" t="s">
        <v>188</v>
      </c>
      <c r="C307" s="4">
        <v>85</v>
      </c>
      <c r="D307" s="8">
        <v>1.62</v>
      </c>
      <c r="E307" s="4">
        <v>8</v>
      </c>
      <c r="F307" s="8">
        <v>0.35</v>
      </c>
      <c r="G307" s="4">
        <v>76</v>
      </c>
      <c r="H307" s="8">
        <v>2.57</v>
      </c>
      <c r="I307" s="4">
        <v>1</v>
      </c>
    </row>
    <row r="308" spans="1:9" x14ac:dyDescent="0.2">
      <c r="A308" s="2">
        <v>15</v>
      </c>
      <c r="B308" s="1" t="s">
        <v>202</v>
      </c>
      <c r="C308" s="4">
        <v>84</v>
      </c>
      <c r="D308" s="8">
        <v>1.6</v>
      </c>
      <c r="E308" s="4">
        <v>11</v>
      </c>
      <c r="F308" s="8">
        <v>0.49</v>
      </c>
      <c r="G308" s="4">
        <v>73</v>
      </c>
      <c r="H308" s="8">
        <v>2.4700000000000002</v>
      </c>
      <c r="I308" s="4">
        <v>0</v>
      </c>
    </row>
    <row r="309" spans="1:9" x14ac:dyDescent="0.2">
      <c r="A309" s="2">
        <v>16</v>
      </c>
      <c r="B309" s="1" t="s">
        <v>154</v>
      </c>
      <c r="C309" s="4">
        <v>79</v>
      </c>
      <c r="D309" s="8">
        <v>1.5</v>
      </c>
      <c r="E309" s="4">
        <v>10</v>
      </c>
      <c r="F309" s="8">
        <v>0.44</v>
      </c>
      <c r="G309" s="4">
        <v>69</v>
      </c>
      <c r="H309" s="8">
        <v>2.33</v>
      </c>
      <c r="I309" s="4">
        <v>0</v>
      </c>
    </row>
    <row r="310" spans="1:9" x14ac:dyDescent="0.2">
      <c r="A310" s="2">
        <v>16</v>
      </c>
      <c r="B310" s="1" t="s">
        <v>182</v>
      </c>
      <c r="C310" s="4">
        <v>79</v>
      </c>
      <c r="D310" s="8">
        <v>1.5</v>
      </c>
      <c r="E310" s="4">
        <v>28</v>
      </c>
      <c r="F310" s="8">
        <v>1.24</v>
      </c>
      <c r="G310" s="4">
        <v>51</v>
      </c>
      <c r="H310" s="8">
        <v>1.72</v>
      </c>
      <c r="I310" s="4">
        <v>0</v>
      </c>
    </row>
    <row r="311" spans="1:9" x14ac:dyDescent="0.2">
      <c r="A311" s="2">
        <v>18</v>
      </c>
      <c r="B311" s="1" t="s">
        <v>156</v>
      </c>
      <c r="C311" s="4">
        <v>76</v>
      </c>
      <c r="D311" s="8">
        <v>1.45</v>
      </c>
      <c r="E311" s="4">
        <v>12</v>
      </c>
      <c r="F311" s="8">
        <v>0.53</v>
      </c>
      <c r="G311" s="4">
        <v>64</v>
      </c>
      <c r="H311" s="8">
        <v>2.16</v>
      </c>
      <c r="I311" s="4">
        <v>0</v>
      </c>
    </row>
    <row r="312" spans="1:9" x14ac:dyDescent="0.2">
      <c r="A312" s="2">
        <v>19</v>
      </c>
      <c r="B312" s="1" t="s">
        <v>187</v>
      </c>
      <c r="C312" s="4">
        <v>73</v>
      </c>
      <c r="D312" s="8">
        <v>1.39</v>
      </c>
      <c r="E312" s="4">
        <v>7</v>
      </c>
      <c r="F312" s="8">
        <v>0.31</v>
      </c>
      <c r="G312" s="4">
        <v>66</v>
      </c>
      <c r="H312" s="8">
        <v>2.23</v>
      </c>
      <c r="I312" s="4">
        <v>0</v>
      </c>
    </row>
    <row r="313" spans="1:9" x14ac:dyDescent="0.2">
      <c r="A313" s="2">
        <v>20</v>
      </c>
      <c r="B313" s="1" t="s">
        <v>158</v>
      </c>
      <c r="C313" s="4">
        <v>72</v>
      </c>
      <c r="D313" s="8">
        <v>1.37</v>
      </c>
      <c r="E313" s="4">
        <v>46</v>
      </c>
      <c r="F313" s="8">
        <v>2.04</v>
      </c>
      <c r="G313" s="4">
        <v>26</v>
      </c>
      <c r="H313" s="8">
        <v>0.88</v>
      </c>
      <c r="I313" s="4">
        <v>0</v>
      </c>
    </row>
    <row r="314" spans="1:9" x14ac:dyDescent="0.2">
      <c r="A314" s="1"/>
      <c r="C314" s="4"/>
      <c r="D314" s="8"/>
      <c r="E314" s="4"/>
      <c r="F314" s="8"/>
      <c r="G314" s="4"/>
      <c r="H314" s="8"/>
      <c r="I314" s="4"/>
    </row>
    <row r="315" spans="1:9" x14ac:dyDescent="0.2">
      <c r="A315" s="1" t="s">
        <v>14</v>
      </c>
      <c r="C315" s="4"/>
      <c r="D315" s="8"/>
      <c r="E315" s="4"/>
      <c r="F315" s="8"/>
      <c r="G315" s="4"/>
      <c r="H315" s="8"/>
      <c r="I315" s="4"/>
    </row>
    <row r="316" spans="1:9" x14ac:dyDescent="0.2">
      <c r="A316" s="2">
        <v>1</v>
      </c>
      <c r="B316" s="1" t="s">
        <v>170</v>
      </c>
      <c r="C316" s="4">
        <v>156</v>
      </c>
      <c r="D316" s="8">
        <v>5.17</v>
      </c>
      <c r="E316" s="4">
        <v>128</v>
      </c>
      <c r="F316" s="8">
        <v>10.53</v>
      </c>
      <c r="G316" s="4">
        <v>28</v>
      </c>
      <c r="H316" s="8">
        <v>1.59</v>
      </c>
      <c r="I316" s="4">
        <v>0</v>
      </c>
    </row>
    <row r="317" spans="1:9" x14ac:dyDescent="0.2">
      <c r="A317" s="2">
        <v>2</v>
      </c>
      <c r="B317" s="1" t="s">
        <v>164</v>
      </c>
      <c r="C317" s="4">
        <v>139</v>
      </c>
      <c r="D317" s="8">
        <v>4.6100000000000003</v>
      </c>
      <c r="E317" s="4">
        <v>35</v>
      </c>
      <c r="F317" s="8">
        <v>2.88</v>
      </c>
      <c r="G317" s="4">
        <v>104</v>
      </c>
      <c r="H317" s="8">
        <v>5.92</v>
      </c>
      <c r="I317" s="4">
        <v>0</v>
      </c>
    </row>
    <row r="318" spans="1:9" x14ac:dyDescent="0.2">
      <c r="A318" s="2">
        <v>3</v>
      </c>
      <c r="B318" s="1" t="s">
        <v>154</v>
      </c>
      <c r="C318" s="4">
        <v>90</v>
      </c>
      <c r="D318" s="8">
        <v>2.98</v>
      </c>
      <c r="E318" s="4">
        <v>8</v>
      </c>
      <c r="F318" s="8">
        <v>0.66</v>
      </c>
      <c r="G318" s="4">
        <v>82</v>
      </c>
      <c r="H318" s="8">
        <v>4.66</v>
      </c>
      <c r="I318" s="4">
        <v>0</v>
      </c>
    </row>
    <row r="319" spans="1:9" x14ac:dyDescent="0.2">
      <c r="A319" s="2">
        <v>4</v>
      </c>
      <c r="B319" s="1" t="s">
        <v>172</v>
      </c>
      <c r="C319" s="4">
        <v>81</v>
      </c>
      <c r="D319" s="8">
        <v>2.69</v>
      </c>
      <c r="E319" s="4">
        <v>70</v>
      </c>
      <c r="F319" s="8">
        <v>5.76</v>
      </c>
      <c r="G319" s="4">
        <v>11</v>
      </c>
      <c r="H319" s="8">
        <v>0.63</v>
      </c>
      <c r="I319" s="4">
        <v>0</v>
      </c>
    </row>
    <row r="320" spans="1:9" x14ac:dyDescent="0.2">
      <c r="A320" s="2">
        <v>5</v>
      </c>
      <c r="B320" s="1" t="s">
        <v>171</v>
      </c>
      <c r="C320" s="4">
        <v>78</v>
      </c>
      <c r="D320" s="8">
        <v>2.59</v>
      </c>
      <c r="E320" s="4">
        <v>57</v>
      </c>
      <c r="F320" s="8">
        <v>4.6900000000000004</v>
      </c>
      <c r="G320" s="4">
        <v>21</v>
      </c>
      <c r="H320" s="8">
        <v>1.19</v>
      </c>
      <c r="I320" s="4">
        <v>0</v>
      </c>
    </row>
    <row r="321" spans="1:9" x14ac:dyDescent="0.2">
      <c r="A321" s="2">
        <v>6</v>
      </c>
      <c r="B321" s="1" t="s">
        <v>169</v>
      </c>
      <c r="C321" s="4">
        <v>69</v>
      </c>
      <c r="D321" s="8">
        <v>2.29</v>
      </c>
      <c r="E321" s="4">
        <v>66</v>
      </c>
      <c r="F321" s="8">
        <v>5.43</v>
      </c>
      <c r="G321" s="4">
        <v>3</v>
      </c>
      <c r="H321" s="8">
        <v>0.17</v>
      </c>
      <c r="I321" s="4">
        <v>0</v>
      </c>
    </row>
    <row r="322" spans="1:9" x14ac:dyDescent="0.2">
      <c r="A322" s="2">
        <v>7</v>
      </c>
      <c r="B322" s="1" t="s">
        <v>156</v>
      </c>
      <c r="C322" s="4">
        <v>59</v>
      </c>
      <c r="D322" s="8">
        <v>1.96</v>
      </c>
      <c r="E322" s="4">
        <v>13</v>
      </c>
      <c r="F322" s="8">
        <v>1.07</v>
      </c>
      <c r="G322" s="4">
        <v>46</v>
      </c>
      <c r="H322" s="8">
        <v>2.62</v>
      </c>
      <c r="I322" s="4">
        <v>0</v>
      </c>
    </row>
    <row r="323" spans="1:9" x14ac:dyDescent="0.2">
      <c r="A323" s="2">
        <v>7</v>
      </c>
      <c r="B323" s="1" t="s">
        <v>166</v>
      </c>
      <c r="C323" s="4">
        <v>59</v>
      </c>
      <c r="D323" s="8">
        <v>1.96</v>
      </c>
      <c r="E323" s="4">
        <v>42</v>
      </c>
      <c r="F323" s="8">
        <v>3.45</v>
      </c>
      <c r="G323" s="4">
        <v>17</v>
      </c>
      <c r="H323" s="8">
        <v>0.97</v>
      </c>
      <c r="I323" s="4">
        <v>0</v>
      </c>
    </row>
    <row r="324" spans="1:9" x14ac:dyDescent="0.2">
      <c r="A324" s="2">
        <v>9</v>
      </c>
      <c r="B324" s="1" t="s">
        <v>155</v>
      </c>
      <c r="C324" s="4">
        <v>58</v>
      </c>
      <c r="D324" s="8">
        <v>1.92</v>
      </c>
      <c r="E324" s="4">
        <v>3</v>
      </c>
      <c r="F324" s="8">
        <v>0.25</v>
      </c>
      <c r="G324" s="4">
        <v>55</v>
      </c>
      <c r="H324" s="8">
        <v>3.13</v>
      </c>
      <c r="I324" s="4">
        <v>0</v>
      </c>
    </row>
    <row r="325" spans="1:9" x14ac:dyDescent="0.2">
      <c r="A325" s="2">
        <v>10</v>
      </c>
      <c r="B325" s="1" t="s">
        <v>167</v>
      </c>
      <c r="C325" s="4">
        <v>55</v>
      </c>
      <c r="D325" s="8">
        <v>1.82</v>
      </c>
      <c r="E325" s="4">
        <v>48</v>
      </c>
      <c r="F325" s="8">
        <v>3.95</v>
      </c>
      <c r="G325" s="4">
        <v>7</v>
      </c>
      <c r="H325" s="8">
        <v>0.4</v>
      </c>
      <c r="I325" s="4">
        <v>0</v>
      </c>
    </row>
    <row r="326" spans="1:9" x14ac:dyDescent="0.2">
      <c r="A326" s="2">
        <v>11</v>
      </c>
      <c r="B326" s="1" t="s">
        <v>160</v>
      </c>
      <c r="C326" s="4">
        <v>54</v>
      </c>
      <c r="D326" s="8">
        <v>1.79</v>
      </c>
      <c r="E326" s="4">
        <v>12</v>
      </c>
      <c r="F326" s="8">
        <v>0.99</v>
      </c>
      <c r="G326" s="4">
        <v>42</v>
      </c>
      <c r="H326" s="8">
        <v>2.39</v>
      </c>
      <c r="I326" s="4">
        <v>0</v>
      </c>
    </row>
    <row r="327" spans="1:9" x14ac:dyDescent="0.2">
      <c r="A327" s="2">
        <v>11</v>
      </c>
      <c r="B327" s="1" t="s">
        <v>182</v>
      </c>
      <c r="C327" s="4">
        <v>54</v>
      </c>
      <c r="D327" s="8">
        <v>1.79</v>
      </c>
      <c r="E327" s="4">
        <v>16</v>
      </c>
      <c r="F327" s="8">
        <v>1.32</v>
      </c>
      <c r="G327" s="4">
        <v>38</v>
      </c>
      <c r="H327" s="8">
        <v>2.16</v>
      </c>
      <c r="I327" s="4">
        <v>0</v>
      </c>
    </row>
    <row r="328" spans="1:9" x14ac:dyDescent="0.2">
      <c r="A328" s="2">
        <v>13</v>
      </c>
      <c r="B328" s="1" t="s">
        <v>159</v>
      </c>
      <c r="C328" s="4">
        <v>53</v>
      </c>
      <c r="D328" s="8">
        <v>1.76</v>
      </c>
      <c r="E328" s="4">
        <v>40</v>
      </c>
      <c r="F328" s="8">
        <v>3.29</v>
      </c>
      <c r="G328" s="4">
        <v>13</v>
      </c>
      <c r="H328" s="8">
        <v>0.74</v>
      </c>
      <c r="I328" s="4">
        <v>0</v>
      </c>
    </row>
    <row r="329" spans="1:9" x14ac:dyDescent="0.2">
      <c r="A329" s="2">
        <v>13</v>
      </c>
      <c r="B329" s="1" t="s">
        <v>162</v>
      </c>
      <c r="C329" s="4">
        <v>53</v>
      </c>
      <c r="D329" s="8">
        <v>1.76</v>
      </c>
      <c r="E329" s="4">
        <v>11</v>
      </c>
      <c r="F329" s="8">
        <v>0.9</v>
      </c>
      <c r="G329" s="4">
        <v>42</v>
      </c>
      <c r="H329" s="8">
        <v>2.39</v>
      </c>
      <c r="I329" s="4">
        <v>0</v>
      </c>
    </row>
    <row r="330" spans="1:9" x14ac:dyDescent="0.2">
      <c r="A330" s="2">
        <v>15</v>
      </c>
      <c r="B330" s="1" t="s">
        <v>203</v>
      </c>
      <c r="C330" s="4">
        <v>50</v>
      </c>
      <c r="D330" s="8">
        <v>1.66</v>
      </c>
      <c r="E330" s="4">
        <v>12</v>
      </c>
      <c r="F330" s="8">
        <v>0.99</v>
      </c>
      <c r="G330" s="4">
        <v>38</v>
      </c>
      <c r="H330" s="8">
        <v>2.16</v>
      </c>
      <c r="I330" s="4">
        <v>0</v>
      </c>
    </row>
    <row r="331" spans="1:9" x14ac:dyDescent="0.2">
      <c r="A331" s="2">
        <v>15</v>
      </c>
      <c r="B331" s="1" t="s">
        <v>174</v>
      </c>
      <c r="C331" s="4">
        <v>50</v>
      </c>
      <c r="D331" s="8">
        <v>1.66</v>
      </c>
      <c r="E331" s="4">
        <v>10</v>
      </c>
      <c r="F331" s="8">
        <v>0.82</v>
      </c>
      <c r="G331" s="4">
        <v>40</v>
      </c>
      <c r="H331" s="8">
        <v>2.2799999999999998</v>
      </c>
      <c r="I331" s="4">
        <v>0</v>
      </c>
    </row>
    <row r="332" spans="1:9" x14ac:dyDescent="0.2">
      <c r="A332" s="2">
        <v>17</v>
      </c>
      <c r="B332" s="1" t="s">
        <v>157</v>
      </c>
      <c r="C332" s="4">
        <v>47</v>
      </c>
      <c r="D332" s="8">
        <v>1.56</v>
      </c>
      <c r="E332" s="4">
        <v>17</v>
      </c>
      <c r="F332" s="8">
        <v>1.4</v>
      </c>
      <c r="G332" s="4">
        <v>30</v>
      </c>
      <c r="H332" s="8">
        <v>1.71</v>
      </c>
      <c r="I332" s="4">
        <v>0</v>
      </c>
    </row>
    <row r="333" spans="1:9" x14ac:dyDescent="0.2">
      <c r="A333" s="2">
        <v>18</v>
      </c>
      <c r="B333" s="1" t="s">
        <v>165</v>
      </c>
      <c r="C333" s="4">
        <v>45</v>
      </c>
      <c r="D333" s="8">
        <v>1.49</v>
      </c>
      <c r="E333" s="4">
        <v>11</v>
      </c>
      <c r="F333" s="8">
        <v>0.9</v>
      </c>
      <c r="G333" s="4">
        <v>34</v>
      </c>
      <c r="H333" s="8">
        <v>1.93</v>
      </c>
      <c r="I333" s="4">
        <v>0</v>
      </c>
    </row>
    <row r="334" spans="1:9" x14ac:dyDescent="0.2">
      <c r="A334" s="2">
        <v>18</v>
      </c>
      <c r="B334" s="1" t="s">
        <v>168</v>
      </c>
      <c r="C334" s="4">
        <v>45</v>
      </c>
      <c r="D334" s="8">
        <v>1.49</v>
      </c>
      <c r="E334" s="4">
        <v>42</v>
      </c>
      <c r="F334" s="8">
        <v>3.45</v>
      </c>
      <c r="G334" s="4">
        <v>3</v>
      </c>
      <c r="H334" s="8">
        <v>0.17</v>
      </c>
      <c r="I334" s="4">
        <v>0</v>
      </c>
    </row>
    <row r="335" spans="1:9" x14ac:dyDescent="0.2">
      <c r="A335" s="2">
        <v>20</v>
      </c>
      <c r="B335" s="1" t="s">
        <v>177</v>
      </c>
      <c r="C335" s="4">
        <v>44</v>
      </c>
      <c r="D335" s="8">
        <v>1.46</v>
      </c>
      <c r="E335" s="4">
        <v>26</v>
      </c>
      <c r="F335" s="8">
        <v>2.14</v>
      </c>
      <c r="G335" s="4">
        <v>18</v>
      </c>
      <c r="H335" s="8">
        <v>1.02</v>
      </c>
      <c r="I335" s="4">
        <v>0</v>
      </c>
    </row>
    <row r="336" spans="1:9" x14ac:dyDescent="0.2">
      <c r="A336" s="2">
        <v>20</v>
      </c>
      <c r="B336" s="1" t="s">
        <v>161</v>
      </c>
      <c r="C336" s="4">
        <v>44</v>
      </c>
      <c r="D336" s="8">
        <v>1.46</v>
      </c>
      <c r="E336" s="4">
        <v>27</v>
      </c>
      <c r="F336" s="8">
        <v>2.2200000000000002</v>
      </c>
      <c r="G336" s="4">
        <v>17</v>
      </c>
      <c r="H336" s="8">
        <v>0.97</v>
      </c>
      <c r="I336" s="4">
        <v>0</v>
      </c>
    </row>
    <row r="337" spans="1:9" x14ac:dyDescent="0.2">
      <c r="A337" s="1"/>
      <c r="C337" s="4"/>
      <c r="D337" s="8"/>
      <c r="E337" s="4"/>
      <c r="F337" s="8"/>
      <c r="G337" s="4"/>
      <c r="H337" s="8"/>
      <c r="I337" s="4"/>
    </row>
    <row r="338" spans="1:9" x14ac:dyDescent="0.2">
      <c r="A338" s="1" t="s">
        <v>15</v>
      </c>
      <c r="C338" s="4"/>
      <c r="D338" s="8"/>
      <c r="E338" s="4"/>
      <c r="F338" s="8"/>
      <c r="G338" s="4"/>
      <c r="H338" s="8"/>
      <c r="I338" s="4"/>
    </row>
    <row r="339" spans="1:9" x14ac:dyDescent="0.2">
      <c r="A339" s="2">
        <v>1</v>
      </c>
      <c r="B339" s="1" t="s">
        <v>164</v>
      </c>
      <c r="C339" s="4">
        <v>165</v>
      </c>
      <c r="D339" s="8">
        <v>8.08</v>
      </c>
      <c r="E339" s="4">
        <v>77</v>
      </c>
      <c r="F339" s="8">
        <v>7.81</v>
      </c>
      <c r="G339" s="4">
        <v>88</v>
      </c>
      <c r="H339" s="8">
        <v>8.4700000000000006</v>
      </c>
      <c r="I339" s="4">
        <v>0</v>
      </c>
    </row>
    <row r="340" spans="1:9" x14ac:dyDescent="0.2">
      <c r="A340" s="2">
        <v>2</v>
      </c>
      <c r="B340" s="1" t="s">
        <v>170</v>
      </c>
      <c r="C340" s="4">
        <v>149</v>
      </c>
      <c r="D340" s="8">
        <v>7.29</v>
      </c>
      <c r="E340" s="4">
        <v>136</v>
      </c>
      <c r="F340" s="8">
        <v>13.79</v>
      </c>
      <c r="G340" s="4">
        <v>13</v>
      </c>
      <c r="H340" s="8">
        <v>1.25</v>
      </c>
      <c r="I340" s="4">
        <v>0</v>
      </c>
    </row>
    <row r="341" spans="1:9" x14ac:dyDescent="0.2">
      <c r="A341" s="2">
        <v>3</v>
      </c>
      <c r="B341" s="1" t="s">
        <v>169</v>
      </c>
      <c r="C341" s="4">
        <v>73</v>
      </c>
      <c r="D341" s="8">
        <v>3.57</v>
      </c>
      <c r="E341" s="4">
        <v>68</v>
      </c>
      <c r="F341" s="8">
        <v>6.9</v>
      </c>
      <c r="G341" s="4">
        <v>5</v>
      </c>
      <c r="H341" s="8">
        <v>0.48</v>
      </c>
      <c r="I341" s="4">
        <v>0</v>
      </c>
    </row>
    <row r="342" spans="1:9" x14ac:dyDescent="0.2">
      <c r="A342" s="2">
        <v>4</v>
      </c>
      <c r="B342" s="1" t="s">
        <v>167</v>
      </c>
      <c r="C342" s="4">
        <v>69</v>
      </c>
      <c r="D342" s="8">
        <v>3.38</v>
      </c>
      <c r="E342" s="4">
        <v>65</v>
      </c>
      <c r="F342" s="8">
        <v>6.59</v>
      </c>
      <c r="G342" s="4">
        <v>4</v>
      </c>
      <c r="H342" s="8">
        <v>0.38</v>
      </c>
      <c r="I342" s="4">
        <v>0</v>
      </c>
    </row>
    <row r="343" spans="1:9" x14ac:dyDescent="0.2">
      <c r="A343" s="2">
        <v>5</v>
      </c>
      <c r="B343" s="1" t="s">
        <v>172</v>
      </c>
      <c r="C343" s="4">
        <v>55</v>
      </c>
      <c r="D343" s="8">
        <v>2.69</v>
      </c>
      <c r="E343" s="4">
        <v>51</v>
      </c>
      <c r="F343" s="8">
        <v>5.17</v>
      </c>
      <c r="G343" s="4">
        <v>4</v>
      </c>
      <c r="H343" s="8">
        <v>0.38</v>
      </c>
      <c r="I343" s="4">
        <v>0</v>
      </c>
    </row>
    <row r="344" spans="1:9" x14ac:dyDescent="0.2">
      <c r="A344" s="2">
        <v>6</v>
      </c>
      <c r="B344" s="1" t="s">
        <v>162</v>
      </c>
      <c r="C344" s="4">
        <v>51</v>
      </c>
      <c r="D344" s="8">
        <v>2.5</v>
      </c>
      <c r="E344" s="4">
        <v>8</v>
      </c>
      <c r="F344" s="8">
        <v>0.81</v>
      </c>
      <c r="G344" s="4">
        <v>43</v>
      </c>
      <c r="H344" s="8">
        <v>4.1399999999999997</v>
      </c>
      <c r="I344" s="4">
        <v>0</v>
      </c>
    </row>
    <row r="345" spans="1:9" x14ac:dyDescent="0.2">
      <c r="A345" s="2">
        <v>7</v>
      </c>
      <c r="B345" s="1" t="s">
        <v>165</v>
      </c>
      <c r="C345" s="4">
        <v>49</v>
      </c>
      <c r="D345" s="8">
        <v>2.4</v>
      </c>
      <c r="E345" s="4">
        <v>16</v>
      </c>
      <c r="F345" s="8">
        <v>1.62</v>
      </c>
      <c r="G345" s="4">
        <v>33</v>
      </c>
      <c r="H345" s="8">
        <v>3.18</v>
      </c>
      <c r="I345" s="4">
        <v>0</v>
      </c>
    </row>
    <row r="346" spans="1:9" x14ac:dyDescent="0.2">
      <c r="A346" s="2">
        <v>7</v>
      </c>
      <c r="B346" s="1" t="s">
        <v>166</v>
      </c>
      <c r="C346" s="4">
        <v>49</v>
      </c>
      <c r="D346" s="8">
        <v>2.4</v>
      </c>
      <c r="E346" s="4">
        <v>41</v>
      </c>
      <c r="F346" s="8">
        <v>4.16</v>
      </c>
      <c r="G346" s="4">
        <v>8</v>
      </c>
      <c r="H346" s="8">
        <v>0.77</v>
      </c>
      <c r="I346" s="4">
        <v>0</v>
      </c>
    </row>
    <row r="347" spans="1:9" x14ac:dyDescent="0.2">
      <c r="A347" s="2">
        <v>9</v>
      </c>
      <c r="B347" s="1" t="s">
        <v>171</v>
      </c>
      <c r="C347" s="4">
        <v>44</v>
      </c>
      <c r="D347" s="8">
        <v>2.15</v>
      </c>
      <c r="E347" s="4">
        <v>33</v>
      </c>
      <c r="F347" s="8">
        <v>3.35</v>
      </c>
      <c r="G347" s="4">
        <v>11</v>
      </c>
      <c r="H347" s="8">
        <v>1.06</v>
      </c>
      <c r="I347" s="4">
        <v>0</v>
      </c>
    </row>
    <row r="348" spans="1:9" x14ac:dyDescent="0.2">
      <c r="A348" s="2">
        <v>10</v>
      </c>
      <c r="B348" s="1" t="s">
        <v>182</v>
      </c>
      <c r="C348" s="4">
        <v>39</v>
      </c>
      <c r="D348" s="8">
        <v>1.91</v>
      </c>
      <c r="E348" s="4">
        <v>19</v>
      </c>
      <c r="F348" s="8">
        <v>1.93</v>
      </c>
      <c r="G348" s="4">
        <v>20</v>
      </c>
      <c r="H348" s="8">
        <v>1.92</v>
      </c>
      <c r="I348" s="4">
        <v>0</v>
      </c>
    </row>
    <row r="349" spans="1:9" x14ac:dyDescent="0.2">
      <c r="A349" s="2">
        <v>11</v>
      </c>
      <c r="B349" s="1" t="s">
        <v>155</v>
      </c>
      <c r="C349" s="4">
        <v>37</v>
      </c>
      <c r="D349" s="8">
        <v>1.81</v>
      </c>
      <c r="E349" s="4">
        <v>2</v>
      </c>
      <c r="F349" s="8">
        <v>0.2</v>
      </c>
      <c r="G349" s="4">
        <v>35</v>
      </c>
      <c r="H349" s="8">
        <v>3.37</v>
      </c>
      <c r="I349" s="4">
        <v>0</v>
      </c>
    </row>
    <row r="350" spans="1:9" x14ac:dyDescent="0.2">
      <c r="A350" s="2">
        <v>11</v>
      </c>
      <c r="B350" s="1" t="s">
        <v>187</v>
      </c>
      <c r="C350" s="4">
        <v>37</v>
      </c>
      <c r="D350" s="8">
        <v>1.81</v>
      </c>
      <c r="E350" s="4">
        <v>7</v>
      </c>
      <c r="F350" s="8">
        <v>0.71</v>
      </c>
      <c r="G350" s="4">
        <v>30</v>
      </c>
      <c r="H350" s="8">
        <v>2.89</v>
      </c>
      <c r="I350" s="4">
        <v>0</v>
      </c>
    </row>
    <row r="351" spans="1:9" x14ac:dyDescent="0.2">
      <c r="A351" s="2">
        <v>11</v>
      </c>
      <c r="B351" s="1" t="s">
        <v>160</v>
      </c>
      <c r="C351" s="4">
        <v>37</v>
      </c>
      <c r="D351" s="8">
        <v>1.81</v>
      </c>
      <c r="E351" s="4">
        <v>12</v>
      </c>
      <c r="F351" s="8">
        <v>1.22</v>
      </c>
      <c r="G351" s="4">
        <v>25</v>
      </c>
      <c r="H351" s="8">
        <v>2.41</v>
      </c>
      <c r="I351" s="4">
        <v>0</v>
      </c>
    </row>
    <row r="352" spans="1:9" x14ac:dyDescent="0.2">
      <c r="A352" s="2">
        <v>14</v>
      </c>
      <c r="B352" s="1" t="s">
        <v>204</v>
      </c>
      <c r="C352" s="4">
        <v>35</v>
      </c>
      <c r="D352" s="8">
        <v>1.71</v>
      </c>
      <c r="E352" s="4">
        <v>0</v>
      </c>
      <c r="F352" s="8">
        <v>0</v>
      </c>
      <c r="G352" s="4">
        <v>35</v>
      </c>
      <c r="H352" s="8">
        <v>3.37</v>
      </c>
      <c r="I352" s="4">
        <v>0</v>
      </c>
    </row>
    <row r="353" spans="1:9" x14ac:dyDescent="0.2">
      <c r="A353" s="2">
        <v>15</v>
      </c>
      <c r="B353" s="1" t="s">
        <v>159</v>
      </c>
      <c r="C353" s="4">
        <v>34</v>
      </c>
      <c r="D353" s="8">
        <v>1.66</v>
      </c>
      <c r="E353" s="4">
        <v>20</v>
      </c>
      <c r="F353" s="8">
        <v>2.0299999999999998</v>
      </c>
      <c r="G353" s="4">
        <v>14</v>
      </c>
      <c r="H353" s="8">
        <v>1.35</v>
      </c>
      <c r="I353" s="4">
        <v>0</v>
      </c>
    </row>
    <row r="354" spans="1:9" x14ac:dyDescent="0.2">
      <c r="A354" s="2">
        <v>16</v>
      </c>
      <c r="B354" s="1" t="s">
        <v>158</v>
      </c>
      <c r="C354" s="4">
        <v>32</v>
      </c>
      <c r="D354" s="8">
        <v>1.57</v>
      </c>
      <c r="E354" s="4">
        <v>18</v>
      </c>
      <c r="F354" s="8">
        <v>1.83</v>
      </c>
      <c r="G354" s="4">
        <v>14</v>
      </c>
      <c r="H354" s="8">
        <v>1.35</v>
      </c>
      <c r="I354" s="4">
        <v>0</v>
      </c>
    </row>
    <row r="355" spans="1:9" x14ac:dyDescent="0.2">
      <c r="A355" s="2">
        <v>17</v>
      </c>
      <c r="B355" s="1" t="s">
        <v>163</v>
      </c>
      <c r="C355" s="4">
        <v>31</v>
      </c>
      <c r="D355" s="8">
        <v>1.52</v>
      </c>
      <c r="E355" s="4">
        <v>4</v>
      </c>
      <c r="F355" s="8">
        <v>0.41</v>
      </c>
      <c r="G355" s="4">
        <v>27</v>
      </c>
      <c r="H355" s="8">
        <v>2.6</v>
      </c>
      <c r="I355" s="4">
        <v>0</v>
      </c>
    </row>
    <row r="356" spans="1:9" x14ac:dyDescent="0.2">
      <c r="A356" s="2">
        <v>18</v>
      </c>
      <c r="B356" s="1" t="s">
        <v>156</v>
      </c>
      <c r="C356" s="4">
        <v>30</v>
      </c>
      <c r="D356" s="8">
        <v>1.47</v>
      </c>
      <c r="E356" s="4">
        <v>4</v>
      </c>
      <c r="F356" s="8">
        <v>0.41</v>
      </c>
      <c r="G356" s="4">
        <v>26</v>
      </c>
      <c r="H356" s="8">
        <v>2.5</v>
      </c>
      <c r="I356" s="4">
        <v>0</v>
      </c>
    </row>
    <row r="357" spans="1:9" x14ac:dyDescent="0.2">
      <c r="A357" s="2">
        <v>19</v>
      </c>
      <c r="B357" s="1" t="s">
        <v>202</v>
      </c>
      <c r="C357" s="4">
        <v>29</v>
      </c>
      <c r="D357" s="8">
        <v>1.42</v>
      </c>
      <c r="E357" s="4">
        <v>4</v>
      </c>
      <c r="F357" s="8">
        <v>0.41</v>
      </c>
      <c r="G357" s="4">
        <v>25</v>
      </c>
      <c r="H357" s="8">
        <v>2.41</v>
      </c>
      <c r="I357" s="4">
        <v>0</v>
      </c>
    </row>
    <row r="358" spans="1:9" x14ac:dyDescent="0.2">
      <c r="A358" s="2">
        <v>19</v>
      </c>
      <c r="B358" s="1" t="s">
        <v>174</v>
      </c>
      <c r="C358" s="4">
        <v>29</v>
      </c>
      <c r="D358" s="8">
        <v>1.42</v>
      </c>
      <c r="E358" s="4">
        <v>6</v>
      </c>
      <c r="F358" s="8">
        <v>0.61</v>
      </c>
      <c r="G358" s="4">
        <v>23</v>
      </c>
      <c r="H358" s="8">
        <v>2.21</v>
      </c>
      <c r="I358" s="4">
        <v>0</v>
      </c>
    </row>
    <row r="359" spans="1:9" x14ac:dyDescent="0.2">
      <c r="A359" s="2">
        <v>19</v>
      </c>
      <c r="B359" s="1" t="s">
        <v>188</v>
      </c>
      <c r="C359" s="4">
        <v>29</v>
      </c>
      <c r="D359" s="8">
        <v>1.42</v>
      </c>
      <c r="E359" s="4">
        <v>2</v>
      </c>
      <c r="F359" s="8">
        <v>0.2</v>
      </c>
      <c r="G359" s="4">
        <v>27</v>
      </c>
      <c r="H359" s="8">
        <v>2.6</v>
      </c>
      <c r="I359" s="4">
        <v>0</v>
      </c>
    </row>
    <row r="360" spans="1:9" x14ac:dyDescent="0.2">
      <c r="A360" s="1"/>
      <c r="C360" s="4"/>
      <c r="D360" s="8"/>
      <c r="E360" s="4"/>
      <c r="F360" s="8"/>
      <c r="G360" s="4"/>
      <c r="H360" s="8"/>
      <c r="I360" s="4"/>
    </row>
    <row r="361" spans="1:9" x14ac:dyDescent="0.2">
      <c r="A361" s="1" t="s">
        <v>16</v>
      </c>
      <c r="C361" s="4"/>
      <c r="D361" s="8"/>
      <c r="E361" s="4"/>
      <c r="F361" s="8"/>
      <c r="G361" s="4"/>
      <c r="H361" s="8"/>
      <c r="I361" s="4"/>
    </row>
    <row r="362" spans="1:9" x14ac:dyDescent="0.2">
      <c r="A362" s="2">
        <v>1</v>
      </c>
      <c r="B362" s="1" t="s">
        <v>170</v>
      </c>
      <c r="C362" s="4">
        <v>232</v>
      </c>
      <c r="D362" s="8">
        <v>5.75</v>
      </c>
      <c r="E362" s="4">
        <v>197</v>
      </c>
      <c r="F362" s="8">
        <v>10.029999999999999</v>
      </c>
      <c r="G362" s="4">
        <v>35</v>
      </c>
      <c r="H362" s="8">
        <v>1.72</v>
      </c>
      <c r="I362" s="4">
        <v>0</v>
      </c>
    </row>
    <row r="363" spans="1:9" x14ac:dyDescent="0.2">
      <c r="A363" s="2">
        <v>2</v>
      </c>
      <c r="B363" s="1" t="s">
        <v>164</v>
      </c>
      <c r="C363" s="4">
        <v>184</v>
      </c>
      <c r="D363" s="8">
        <v>4.5599999999999996</v>
      </c>
      <c r="E363" s="4">
        <v>36</v>
      </c>
      <c r="F363" s="8">
        <v>1.83</v>
      </c>
      <c r="G363" s="4">
        <v>148</v>
      </c>
      <c r="H363" s="8">
        <v>7.29</v>
      </c>
      <c r="I363" s="4">
        <v>0</v>
      </c>
    </row>
    <row r="364" spans="1:9" x14ac:dyDescent="0.2">
      <c r="A364" s="2">
        <v>3</v>
      </c>
      <c r="B364" s="1" t="s">
        <v>167</v>
      </c>
      <c r="C364" s="4">
        <v>146</v>
      </c>
      <c r="D364" s="8">
        <v>3.62</v>
      </c>
      <c r="E364" s="4">
        <v>137</v>
      </c>
      <c r="F364" s="8">
        <v>6.98</v>
      </c>
      <c r="G364" s="4">
        <v>9</v>
      </c>
      <c r="H364" s="8">
        <v>0.44</v>
      </c>
      <c r="I364" s="4">
        <v>0</v>
      </c>
    </row>
    <row r="365" spans="1:9" x14ac:dyDescent="0.2">
      <c r="A365" s="2">
        <v>4</v>
      </c>
      <c r="B365" s="1" t="s">
        <v>169</v>
      </c>
      <c r="C365" s="4">
        <v>117</v>
      </c>
      <c r="D365" s="8">
        <v>2.9</v>
      </c>
      <c r="E365" s="4">
        <v>115</v>
      </c>
      <c r="F365" s="8">
        <v>5.86</v>
      </c>
      <c r="G365" s="4">
        <v>2</v>
      </c>
      <c r="H365" s="8">
        <v>0.1</v>
      </c>
      <c r="I365" s="4">
        <v>0</v>
      </c>
    </row>
    <row r="366" spans="1:9" x14ac:dyDescent="0.2">
      <c r="A366" s="2">
        <v>5</v>
      </c>
      <c r="B366" s="1" t="s">
        <v>166</v>
      </c>
      <c r="C366" s="4">
        <v>113</v>
      </c>
      <c r="D366" s="8">
        <v>2.8</v>
      </c>
      <c r="E366" s="4">
        <v>98</v>
      </c>
      <c r="F366" s="8">
        <v>4.99</v>
      </c>
      <c r="G366" s="4">
        <v>15</v>
      </c>
      <c r="H366" s="8">
        <v>0.74</v>
      </c>
      <c r="I366" s="4">
        <v>0</v>
      </c>
    </row>
    <row r="367" spans="1:9" x14ac:dyDescent="0.2">
      <c r="A367" s="2">
        <v>6</v>
      </c>
      <c r="B367" s="1" t="s">
        <v>172</v>
      </c>
      <c r="C367" s="4">
        <v>110</v>
      </c>
      <c r="D367" s="8">
        <v>2.73</v>
      </c>
      <c r="E367" s="4">
        <v>94</v>
      </c>
      <c r="F367" s="8">
        <v>4.79</v>
      </c>
      <c r="G367" s="4">
        <v>16</v>
      </c>
      <c r="H367" s="8">
        <v>0.79</v>
      </c>
      <c r="I367" s="4">
        <v>0</v>
      </c>
    </row>
    <row r="368" spans="1:9" x14ac:dyDescent="0.2">
      <c r="A368" s="2">
        <v>7</v>
      </c>
      <c r="B368" s="1" t="s">
        <v>171</v>
      </c>
      <c r="C368" s="4">
        <v>108</v>
      </c>
      <c r="D368" s="8">
        <v>2.68</v>
      </c>
      <c r="E368" s="4">
        <v>81</v>
      </c>
      <c r="F368" s="8">
        <v>4.12</v>
      </c>
      <c r="G368" s="4">
        <v>27</v>
      </c>
      <c r="H368" s="8">
        <v>1.33</v>
      </c>
      <c r="I368" s="4">
        <v>0</v>
      </c>
    </row>
    <row r="369" spans="1:9" x14ac:dyDescent="0.2">
      <c r="A369" s="2">
        <v>8</v>
      </c>
      <c r="B369" s="1" t="s">
        <v>162</v>
      </c>
      <c r="C369" s="4">
        <v>91</v>
      </c>
      <c r="D369" s="8">
        <v>2.2599999999999998</v>
      </c>
      <c r="E369" s="4">
        <v>19</v>
      </c>
      <c r="F369" s="8">
        <v>0.97</v>
      </c>
      <c r="G369" s="4">
        <v>72</v>
      </c>
      <c r="H369" s="8">
        <v>3.55</v>
      </c>
      <c r="I369" s="4">
        <v>0</v>
      </c>
    </row>
    <row r="370" spans="1:9" x14ac:dyDescent="0.2">
      <c r="A370" s="2">
        <v>9</v>
      </c>
      <c r="B370" s="1" t="s">
        <v>168</v>
      </c>
      <c r="C370" s="4">
        <v>84</v>
      </c>
      <c r="D370" s="8">
        <v>2.08</v>
      </c>
      <c r="E370" s="4">
        <v>78</v>
      </c>
      <c r="F370" s="8">
        <v>3.97</v>
      </c>
      <c r="G370" s="4">
        <v>6</v>
      </c>
      <c r="H370" s="8">
        <v>0.3</v>
      </c>
      <c r="I370" s="4">
        <v>0</v>
      </c>
    </row>
    <row r="371" spans="1:9" x14ac:dyDescent="0.2">
      <c r="A371" s="2">
        <v>10</v>
      </c>
      <c r="B371" s="1" t="s">
        <v>160</v>
      </c>
      <c r="C371" s="4">
        <v>79</v>
      </c>
      <c r="D371" s="8">
        <v>1.96</v>
      </c>
      <c r="E371" s="4">
        <v>17</v>
      </c>
      <c r="F371" s="8">
        <v>0.87</v>
      </c>
      <c r="G371" s="4">
        <v>62</v>
      </c>
      <c r="H371" s="8">
        <v>3.05</v>
      </c>
      <c r="I371" s="4">
        <v>0</v>
      </c>
    </row>
    <row r="372" spans="1:9" x14ac:dyDescent="0.2">
      <c r="A372" s="2">
        <v>11</v>
      </c>
      <c r="B372" s="1" t="s">
        <v>154</v>
      </c>
      <c r="C372" s="4">
        <v>75</v>
      </c>
      <c r="D372" s="8">
        <v>1.86</v>
      </c>
      <c r="E372" s="4">
        <v>14</v>
      </c>
      <c r="F372" s="8">
        <v>0.71</v>
      </c>
      <c r="G372" s="4">
        <v>61</v>
      </c>
      <c r="H372" s="8">
        <v>3</v>
      </c>
      <c r="I372" s="4">
        <v>0</v>
      </c>
    </row>
    <row r="373" spans="1:9" x14ac:dyDescent="0.2">
      <c r="A373" s="2">
        <v>12</v>
      </c>
      <c r="B373" s="1" t="s">
        <v>159</v>
      </c>
      <c r="C373" s="4">
        <v>74</v>
      </c>
      <c r="D373" s="8">
        <v>1.83</v>
      </c>
      <c r="E373" s="4">
        <v>49</v>
      </c>
      <c r="F373" s="8">
        <v>2.4900000000000002</v>
      </c>
      <c r="G373" s="4">
        <v>25</v>
      </c>
      <c r="H373" s="8">
        <v>1.23</v>
      </c>
      <c r="I373" s="4">
        <v>0</v>
      </c>
    </row>
    <row r="374" spans="1:9" x14ac:dyDescent="0.2">
      <c r="A374" s="2">
        <v>13</v>
      </c>
      <c r="B374" s="1" t="s">
        <v>182</v>
      </c>
      <c r="C374" s="4">
        <v>71</v>
      </c>
      <c r="D374" s="8">
        <v>1.76</v>
      </c>
      <c r="E374" s="4">
        <v>32</v>
      </c>
      <c r="F374" s="8">
        <v>1.63</v>
      </c>
      <c r="G374" s="4">
        <v>39</v>
      </c>
      <c r="H374" s="8">
        <v>1.92</v>
      </c>
      <c r="I374" s="4">
        <v>0</v>
      </c>
    </row>
    <row r="375" spans="1:9" x14ac:dyDescent="0.2">
      <c r="A375" s="2">
        <v>14</v>
      </c>
      <c r="B375" s="1" t="s">
        <v>163</v>
      </c>
      <c r="C375" s="4">
        <v>69</v>
      </c>
      <c r="D375" s="8">
        <v>1.71</v>
      </c>
      <c r="E375" s="4">
        <v>6</v>
      </c>
      <c r="F375" s="8">
        <v>0.31</v>
      </c>
      <c r="G375" s="4">
        <v>63</v>
      </c>
      <c r="H375" s="8">
        <v>3.1</v>
      </c>
      <c r="I375" s="4">
        <v>0</v>
      </c>
    </row>
    <row r="376" spans="1:9" x14ac:dyDescent="0.2">
      <c r="A376" s="2">
        <v>15</v>
      </c>
      <c r="B376" s="1" t="s">
        <v>165</v>
      </c>
      <c r="C376" s="4">
        <v>68</v>
      </c>
      <c r="D376" s="8">
        <v>1.69</v>
      </c>
      <c r="E376" s="4">
        <v>26</v>
      </c>
      <c r="F376" s="8">
        <v>1.32</v>
      </c>
      <c r="G376" s="4">
        <v>42</v>
      </c>
      <c r="H376" s="8">
        <v>2.0699999999999998</v>
      </c>
      <c r="I376" s="4">
        <v>0</v>
      </c>
    </row>
    <row r="377" spans="1:9" x14ac:dyDescent="0.2">
      <c r="A377" s="2">
        <v>16</v>
      </c>
      <c r="B377" s="1" t="s">
        <v>156</v>
      </c>
      <c r="C377" s="4">
        <v>65</v>
      </c>
      <c r="D377" s="8">
        <v>1.61</v>
      </c>
      <c r="E377" s="4">
        <v>23</v>
      </c>
      <c r="F377" s="8">
        <v>1.17</v>
      </c>
      <c r="G377" s="4">
        <v>42</v>
      </c>
      <c r="H377" s="8">
        <v>2.0699999999999998</v>
      </c>
      <c r="I377" s="4">
        <v>0</v>
      </c>
    </row>
    <row r="378" spans="1:9" x14ac:dyDescent="0.2">
      <c r="A378" s="2">
        <v>17</v>
      </c>
      <c r="B378" s="1" t="s">
        <v>174</v>
      </c>
      <c r="C378" s="4">
        <v>64</v>
      </c>
      <c r="D378" s="8">
        <v>1.59</v>
      </c>
      <c r="E378" s="4">
        <v>16</v>
      </c>
      <c r="F378" s="8">
        <v>0.81</v>
      </c>
      <c r="G378" s="4">
        <v>47</v>
      </c>
      <c r="H378" s="8">
        <v>2.3199999999999998</v>
      </c>
      <c r="I378" s="4">
        <v>1</v>
      </c>
    </row>
    <row r="379" spans="1:9" x14ac:dyDescent="0.2">
      <c r="A379" s="2">
        <v>17</v>
      </c>
      <c r="B379" s="1" t="s">
        <v>183</v>
      </c>
      <c r="C379" s="4">
        <v>64</v>
      </c>
      <c r="D379" s="8">
        <v>1.59</v>
      </c>
      <c r="E379" s="4">
        <v>63</v>
      </c>
      <c r="F379" s="8">
        <v>3.21</v>
      </c>
      <c r="G379" s="4">
        <v>1</v>
      </c>
      <c r="H379" s="8">
        <v>0.05</v>
      </c>
      <c r="I379" s="4">
        <v>0</v>
      </c>
    </row>
    <row r="380" spans="1:9" x14ac:dyDescent="0.2">
      <c r="A380" s="2">
        <v>19</v>
      </c>
      <c r="B380" s="1" t="s">
        <v>187</v>
      </c>
      <c r="C380" s="4">
        <v>62</v>
      </c>
      <c r="D380" s="8">
        <v>1.54</v>
      </c>
      <c r="E380" s="4">
        <v>15</v>
      </c>
      <c r="F380" s="8">
        <v>0.76</v>
      </c>
      <c r="G380" s="4">
        <v>47</v>
      </c>
      <c r="H380" s="8">
        <v>2.3199999999999998</v>
      </c>
      <c r="I380" s="4">
        <v>0</v>
      </c>
    </row>
    <row r="381" spans="1:9" x14ac:dyDescent="0.2">
      <c r="A381" s="2">
        <v>20</v>
      </c>
      <c r="B381" s="1" t="s">
        <v>188</v>
      </c>
      <c r="C381" s="4">
        <v>58</v>
      </c>
      <c r="D381" s="8">
        <v>1.44</v>
      </c>
      <c r="E381" s="4">
        <v>8</v>
      </c>
      <c r="F381" s="8">
        <v>0.41</v>
      </c>
      <c r="G381" s="4">
        <v>50</v>
      </c>
      <c r="H381" s="8">
        <v>2.46</v>
      </c>
      <c r="I381" s="4">
        <v>0</v>
      </c>
    </row>
    <row r="382" spans="1:9" x14ac:dyDescent="0.2">
      <c r="A382" s="1"/>
      <c r="C382" s="4"/>
      <c r="D382" s="8"/>
      <c r="E382" s="4"/>
      <c r="F382" s="8"/>
      <c r="G382" s="4"/>
      <c r="H382" s="8"/>
      <c r="I382" s="4"/>
    </row>
    <row r="383" spans="1:9" x14ac:dyDescent="0.2">
      <c r="A383" s="1" t="s">
        <v>17</v>
      </c>
      <c r="C383" s="4"/>
      <c r="D383" s="8"/>
      <c r="E383" s="4"/>
      <c r="F383" s="8"/>
      <c r="G383" s="4"/>
      <c r="H383" s="8"/>
      <c r="I383" s="4"/>
    </row>
    <row r="384" spans="1:9" x14ac:dyDescent="0.2">
      <c r="A384" s="2">
        <v>1</v>
      </c>
      <c r="B384" s="1" t="s">
        <v>170</v>
      </c>
      <c r="C384" s="4">
        <v>190</v>
      </c>
      <c r="D384" s="8">
        <v>6.46</v>
      </c>
      <c r="E384" s="4">
        <v>180</v>
      </c>
      <c r="F384" s="8">
        <v>9.77</v>
      </c>
      <c r="G384" s="4">
        <v>10</v>
      </c>
      <c r="H384" s="8">
        <v>0.92</v>
      </c>
      <c r="I384" s="4">
        <v>0</v>
      </c>
    </row>
    <row r="385" spans="1:9" x14ac:dyDescent="0.2">
      <c r="A385" s="2">
        <v>2</v>
      </c>
      <c r="B385" s="1" t="s">
        <v>168</v>
      </c>
      <c r="C385" s="4">
        <v>156</v>
      </c>
      <c r="D385" s="8">
        <v>5.3</v>
      </c>
      <c r="E385" s="4">
        <v>153</v>
      </c>
      <c r="F385" s="8">
        <v>8.3000000000000007</v>
      </c>
      <c r="G385" s="4">
        <v>3</v>
      </c>
      <c r="H385" s="8">
        <v>0.28000000000000003</v>
      </c>
      <c r="I385" s="4">
        <v>0</v>
      </c>
    </row>
    <row r="386" spans="1:9" x14ac:dyDescent="0.2">
      <c r="A386" s="2">
        <v>3</v>
      </c>
      <c r="B386" s="1" t="s">
        <v>169</v>
      </c>
      <c r="C386" s="4">
        <v>99</v>
      </c>
      <c r="D386" s="8">
        <v>3.36</v>
      </c>
      <c r="E386" s="4">
        <v>97</v>
      </c>
      <c r="F386" s="8">
        <v>5.26</v>
      </c>
      <c r="G386" s="4">
        <v>2</v>
      </c>
      <c r="H386" s="8">
        <v>0.18</v>
      </c>
      <c r="I386" s="4">
        <v>0</v>
      </c>
    </row>
    <row r="387" spans="1:9" x14ac:dyDescent="0.2">
      <c r="A387" s="2">
        <v>4</v>
      </c>
      <c r="B387" s="1" t="s">
        <v>164</v>
      </c>
      <c r="C387" s="4">
        <v>92</v>
      </c>
      <c r="D387" s="8">
        <v>3.13</v>
      </c>
      <c r="E387" s="4">
        <v>51</v>
      </c>
      <c r="F387" s="8">
        <v>2.77</v>
      </c>
      <c r="G387" s="4">
        <v>41</v>
      </c>
      <c r="H387" s="8">
        <v>3.77</v>
      </c>
      <c r="I387" s="4">
        <v>0</v>
      </c>
    </row>
    <row r="388" spans="1:9" x14ac:dyDescent="0.2">
      <c r="A388" s="2">
        <v>5</v>
      </c>
      <c r="B388" s="1" t="s">
        <v>172</v>
      </c>
      <c r="C388" s="4">
        <v>87</v>
      </c>
      <c r="D388" s="8">
        <v>2.96</v>
      </c>
      <c r="E388" s="4">
        <v>81</v>
      </c>
      <c r="F388" s="8">
        <v>4.4000000000000004</v>
      </c>
      <c r="G388" s="4">
        <v>6</v>
      </c>
      <c r="H388" s="8">
        <v>0.55000000000000004</v>
      </c>
      <c r="I388" s="4">
        <v>0</v>
      </c>
    </row>
    <row r="389" spans="1:9" x14ac:dyDescent="0.2">
      <c r="A389" s="2">
        <v>6</v>
      </c>
      <c r="B389" s="1" t="s">
        <v>158</v>
      </c>
      <c r="C389" s="4">
        <v>83</v>
      </c>
      <c r="D389" s="8">
        <v>2.82</v>
      </c>
      <c r="E389" s="4">
        <v>54</v>
      </c>
      <c r="F389" s="8">
        <v>2.93</v>
      </c>
      <c r="G389" s="4">
        <v>29</v>
      </c>
      <c r="H389" s="8">
        <v>2.67</v>
      </c>
      <c r="I389" s="4">
        <v>0</v>
      </c>
    </row>
    <row r="390" spans="1:9" x14ac:dyDescent="0.2">
      <c r="A390" s="2">
        <v>7</v>
      </c>
      <c r="B390" s="1" t="s">
        <v>159</v>
      </c>
      <c r="C390" s="4">
        <v>74</v>
      </c>
      <c r="D390" s="8">
        <v>2.5099999999999998</v>
      </c>
      <c r="E390" s="4">
        <v>47</v>
      </c>
      <c r="F390" s="8">
        <v>2.5499999999999998</v>
      </c>
      <c r="G390" s="4">
        <v>27</v>
      </c>
      <c r="H390" s="8">
        <v>2.48</v>
      </c>
      <c r="I390" s="4">
        <v>0</v>
      </c>
    </row>
    <row r="391" spans="1:9" x14ac:dyDescent="0.2">
      <c r="A391" s="2">
        <v>8</v>
      </c>
      <c r="B391" s="1" t="s">
        <v>167</v>
      </c>
      <c r="C391" s="4">
        <v>73</v>
      </c>
      <c r="D391" s="8">
        <v>2.48</v>
      </c>
      <c r="E391" s="4">
        <v>69</v>
      </c>
      <c r="F391" s="8">
        <v>3.74</v>
      </c>
      <c r="G391" s="4">
        <v>4</v>
      </c>
      <c r="H391" s="8">
        <v>0.37</v>
      </c>
      <c r="I391" s="4">
        <v>0</v>
      </c>
    </row>
    <row r="392" spans="1:9" x14ac:dyDescent="0.2">
      <c r="A392" s="2">
        <v>9</v>
      </c>
      <c r="B392" s="1" t="s">
        <v>161</v>
      </c>
      <c r="C392" s="4">
        <v>72</v>
      </c>
      <c r="D392" s="8">
        <v>2.4500000000000002</v>
      </c>
      <c r="E392" s="4">
        <v>52</v>
      </c>
      <c r="F392" s="8">
        <v>2.82</v>
      </c>
      <c r="G392" s="4">
        <v>19</v>
      </c>
      <c r="H392" s="8">
        <v>1.75</v>
      </c>
      <c r="I392" s="4">
        <v>1</v>
      </c>
    </row>
    <row r="393" spans="1:9" x14ac:dyDescent="0.2">
      <c r="A393" s="2">
        <v>10</v>
      </c>
      <c r="B393" s="1" t="s">
        <v>166</v>
      </c>
      <c r="C393" s="4">
        <v>67</v>
      </c>
      <c r="D393" s="8">
        <v>2.2799999999999998</v>
      </c>
      <c r="E393" s="4">
        <v>61</v>
      </c>
      <c r="F393" s="8">
        <v>3.31</v>
      </c>
      <c r="G393" s="4">
        <v>6</v>
      </c>
      <c r="H393" s="8">
        <v>0.55000000000000004</v>
      </c>
      <c r="I393" s="4">
        <v>0</v>
      </c>
    </row>
    <row r="394" spans="1:9" x14ac:dyDescent="0.2">
      <c r="A394" s="2">
        <v>11</v>
      </c>
      <c r="B394" s="1" t="s">
        <v>160</v>
      </c>
      <c r="C394" s="4">
        <v>61</v>
      </c>
      <c r="D394" s="8">
        <v>2.0699999999999998</v>
      </c>
      <c r="E394" s="4">
        <v>22</v>
      </c>
      <c r="F394" s="8">
        <v>1.19</v>
      </c>
      <c r="G394" s="4">
        <v>39</v>
      </c>
      <c r="H394" s="8">
        <v>3.59</v>
      </c>
      <c r="I394" s="4">
        <v>0</v>
      </c>
    </row>
    <row r="395" spans="1:9" x14ac:dyDescent="0.2">
      <c r="A395" s="2">
        <v>12</v>
      </c>
      <c r="B395" s="1" t="s">
        <v>154</v>
      </c>
      <c r="C395" s="4">
        <v>60</v>
      </c>
      <c r="D395" s="8">
        <v>2.04</v>
      </c>
      <c r="E395" s="4">
        <v>12</v>
      </c>
      <c r="F395" s="8">
        <v>0.65</v>
      </c>
      <c r="G395" s="4">
        <v>48</v>
      </c>
      <c r="H395" s="8">
        <v>4.42</v>
      </c>
      <c r="I395" s="4">
        <v>0</v>
      </c>
    </row>
    <row r="396" spans="1:9" x14ac:dyDescent="0.2">
      <c r="A396" s="2">
        <v>13</v>
      </c>
      <c r="B396" s="1" t="s">
        <v>155</v>
      </c>
      <c r="C396" s="4">
        <v>55</v>
      </c>
      <c r="D396" s="8">
        <v>1.87</v>
      </c>
      <c r="E396" s="4">
        <v>14</v>
      </c>
      <c r="F396" s="8">
        <v>0.76</v>
      </c>
      <c r="G396" s="4">
        <v>41</v>
      </c>
      <c r="H396" s="8">
        <v>3.77</v>
      </c>
      <c r="I396" s="4">
        <v>0</v>
      </c>
    </row>
    <row r="397" spans="1:9" x14ac:dyDescent="0.2">
      <c r="A397" s="2">
        <v>14</v>
      </c>
      <c r="B397" s="1" t="s">
        <v>157</v>
      </c>
      <c r="C397" s="4">
        <v>53</v>
      </c>
      <c r="D397" s="8">
        <v>1.8</v>
      </c>
      <c r="E397" s="4">
        <v>28</v>
      </c>
      <c r="F397" s="8">
        <v>1.52</v>
      </c>
      <c r="G397" s="4">
        <v>25</v>
      </c>
      <c r="H397" s="8">
        <v>2.2999999999999998</v>
      </c>
      <c r="I397" s="4">
        <v>0</v>
      </c>
    </row>
    <row r="398" spans="1:9" x14ac:dyDescent="0.2">
      <c r="A398" s="2">
        <v>15</v>
      </c>
      <c r="B398" s="1" t="s">
        <v>171</v>
      </c>
      <c r="C398" s="4">
        <v>51</v>
      </c>
      <c r="D398" s="8">
        <v>1.73</v>
      </c>
      <c r="E398" s="4">
        <v>42</v>
      </c>
      <c r="F398" s="8">
        <v>2.2799999999999998</v>
      </c>
      <c r="G398" s="4">
        <v>9</v>
      </c>
      <c r="H398" s="8">
        <v>0.83</v>
      </c>
      <c r="I398" s="4">
        <v>0</v>
      </c>
    </row>
    <row r="399" spans="1:9" x14ac:dyDescent="0.2">
      <c r="A399" s="2">
        <v>16</v>
      </c>
      <c r="B399" s="1" t="s">
        <v>173</v>
      </c>
      <c r="C399" s="4">
        <v>50</v>
      </c>
      <c r="D399" s="8">
        <v>1.7</v>
      </c>
      <c r="E399" s="4">
        <v>44</v>
      </c>
      <c r="F399" s="8">
        <v>2.39</v>
      </c>
      <c r="G399" s="4">
        <v>6</v>
      </c>
      <c r="H399" s="8">
        <v>0.55000000000000004</v>
      </c>
      <c r="I399" s="4">
        <v>0</v>
      </c>
    </row>
    <row r="400" spans="1:9" x14ac:dyDescent="0.2">
      <c r="A400" s="2">
        <v>17</v>
      </c>
      <c r="B400" s="1" t="s">
        <v>186</v>
      </c>
      <c r="C400" s="4">
        <v>41</v>
      </c>
      <c r="D400" s="8">
        <v>1.39</v>
      </c>
      <c r="E400" s="4">
        <v>27</v>
      </c>
      <c r="F400" s="8">
        <v>1.47</v>
      </c>
      <c r="G400" s="4">
        <v>14</v>
      </c>
      <c r="H400" s="8">
        <v>1.29</v>
      </c>
      <c r="I400" s="4">
        <v>0</v>
      </c>
    </row>
    <row r="401" spans="1:9" x14ac:dyDescent="0.2">
      <c r="A401" s="2">
        <v>17</v>
      </c>
      <c r="B401" s="1" t="s">
        <v>205</v>
      </c>
      <c r="C401" s="4">
        <v>41</v>
      </c>
      <c r="D401" s="8">
        <v>1.39</v>
      </c>
      <c r="E401" s="4">
        <v>28</v>
      </c>
      <c r="F401" s="8">
        <v>1.52</v>
      </c>
      <c r="G401" s="4">
        <v>13</v>
      </c>
      <c r="H401" s="8">
        <v>1.2</v>
      </c>
      <c r="I401" s="4">
        <v>0</v>
      </c>
    </row>
    <row r="402" spans="1:9" x14ac:dyDescent="0.2">
      <c r="A402" s="2">
        <v>19</v>
      </c>
      <c r="B402" s="1" t="s">
        <v>156</v>
      </c>
      <c r="C402" s="4">
        <v>40</v>
      </c>
      <c r="D402" s="8">
        <v>1.36</v>
      </c>
      <c r="E402" s="4">
        <v>14</v>
      </c>
      <c r="F402" s="8">
        <v>0.76</v>
      </c>
      <c r="G402" s="4">
        <v>26</v>
      </c>
      <c r="H402" s="8">
        <v>2.39</v>
      </c>
      <c r="I402" s="4">
        <v>0</v>
      </c>
    </row>
    <row r="403" spans="1:9" x14ac:dyDescent="0.2">
      <c r="A403" s="2">
        <v>19</v>
      </c>
      <c r="B403" s="1" t="s">
        <v>182</v>
      </c>
      <c r="C403" s="4">
        <v>40</v>
      </c>
      <c r="D403" s="8">
        <v>1.36</v>
      </c>
      <c r="E403" s="4">
        <v>30</v>
      </c>
      <c r="F403" s="8">
        <v>1.63</v>
      </c>
      <c r="G403" s="4">
        <v>10</v>
      </c>
      <c r="H403" s="8">
        <v>0.92</v>
      </c>
      <c r="I403" s="4">
        <v>0</v>
      </c>
    </row>
    <row r="404" spans="1:9" x14ac:dyDescent="0.2">
      <c r="A404" s="1"/>
      <c r="C404" s="4"/>
      <c r="D404" s="8"/>
      <c r="E404" s="4"/>
      <c r="F404" s="8"/>
      <c r="G404" s="4"/>
      <c r="H404" s="8"/>
      <c r="I404" s="4"/>
    </row>
    <row r="405" spans="1:9" x14ac:dyDescent="0.2">
      <c r="A405" s="1" t="s">
        <v>18</v>
      </c>
      <c r="C405" s="4"/>
      <c r="D405" s="8"/>
      <c r="E405" s="4"/>
      <c r="F405" s="8"/>
      <c r="G405" s="4"/>
      <c r="H405" s="8"/>
      <c r="I405" s="4"/>
    </row>
    <row r="406" spans="1:9" x14ac:dyDescent="0.2">
      <c r="A406" s="2">
        <v>1</v>
      </c>
      <c r="B406" s="1" t="s">
        <v>170</v>
      </c>
      <c r="C406" s="4">
        <v>402</v>
      </c>
      <c r="D406" s="8">
        <v>5.59</v>
      </c>
      <c r="E406" s="4">
        <v>374</v>
      </c>
      <c r="F406" s="8">
        <v>9.49</v>
      </c>
      <c r="G406" s="4">
        <v>28</v>
      </c>
      <c r="H406" s="8">
        <v>0.87</v>
      </c>
      <c r="I406" s="4">
        <v>0</v>
      </c>
    </row>
    <row r="407" spans="1:9" x14ac:dyDescent="0.2">
      <c r="A407" s="2">
        <v>2</v>
      </c>
      <c r="B407" s="1" t="s">
        <v>164</v>
      </c>
      <c r="C407" s="4">
        <v>250</v>
      </c>
      <c r="D407" s="8">
        <v>3.48</v>
      </c>
      <c r="E407" s="4">
        <v>115</v>
      </c>
      <c r="F407" s="8">
        <v>2.92</v>
      </c>
      <c r="G407" s="4">
        <v>135</v>
      </c>
      <c r="H407" s="8">
        <v>4.2</v>
      </c>
      <c r="I407" s="4">
        <v>0</v>
      </c>
    </row>
    <row r="408" spans="1:9" x14ac:dyDescent="0.2">
      <c r="A408" s="2">
        <v>3</v>
      </c>
      <c r="B408" s="1" t="s">
        <v>167</v>
      </c>
      <c r="C408" s="4">
        <v>221</v>
      </c>
      <c r="D408" s="8">
        <v>3.07</v>
      </c>
      <c r="E408" s="4">
        <v>206</v>
      </c>
      <c r="F408" s="8">
        <v>5.23</v>
      </c>
      <c r="G408" s="4">
        <v>15</v>
      </c>
      <c r="H408" s="8">
        <v>0.47</v>
      </c>
      <c r="I408" s="4">
        <v>0</v>
      </c>
    </row>
    <row r="409" spans="1:9" x14ac:dyDescent="0.2">
      <c r="A409" s="2">
        <v>4</v>
      </c>
      <c r="B409" s="1" t="s">
        <v>169</v>
      </c>
      <c r="C409" s="4">
        <v>205</v>
      </c>
      <c r="D409" s="8">
        <v>2.85</v>
      </c>
      <c r="E409" s="4">
        <v>198</v>
      </c>
      <c r="F409" s="8">
        <v>5.0199999999999996</v>
      </c>
      <c r="G409" s="4">
        <v>6</v>
      </c>
      <c r="H409" s="8">
        <v>0.19</v>
      </c>
      <c r="I409" s="4">
        <v>1</v>
      </c>
    </row>
    <row r="410" spans="1:9" x14ac:dyDescent="0.2">
      <c r="A410" s="2">
        <v>5</v>
      </c>
      <c r="B410" s="1" t="s">
        <v>172</v>
      </c>
      <c r="C410" s="4">
        <v>188</v>
      </c>
      <c r="D410" s="8">
        <v>2.61</v>
      </c>
      <c r="E410" s="4">
        <v>161</v>
      </c>
      <c r="F410" s="8">
        <v>4.08</v>
      </c>
      <c r="G410" s="4">
        <v>27</v>
      </c>
      <c r="H410" s="8">
        <v>0.84</v>
      </c>
      <c r="I410" s="4">
        <v>0</v>
      </c>
    </row>
    <row r="411" spans="1:9" x14ac:dyDescent="0.2">
      <c r="A411" s="2">
        <v>6</v>
      </c>
      <c r="B411" s="1" t="s">
        <v>166</v>
      </c>
      <c r="C411" s="4">
        <v>186</v>
      </c>
      <c r="D411" s="8">
        <v>2.59</v>
      </c>
      <c r="E411" s="4">
        <v>152</v>
      </c>
      <c r="F411" s="8">
        <v>3.86</v>
      </c>
      <c r="G411" s="4">
        <v>34</v>
      </c>
      <c r="H411" s="8">
        <v>1.06</v>
      </c>
      <c r="I411" s="4">
        <v>0</v>
      </c>
    </row>
    <row r="412" spans="1:9" x14ac:dyDescent="0.2">
      <c r="A412" s="2">
        <v>7</v>
      </c>
      <c r="B412" s="1" t="s">
        <v>168</v>
      </c>
      <c r="C412" s="4">
        <v>183</v>
      </c>
      <c r="D412" s="8">
        <v>2.54</v>
      </c>
      <c r="E412" s="4">
        <v>175</v>
      </c>
      <c r="F412" s="8">
        <v>4.4400000000000004</v>
      </c>
      <c r="G412" s="4">
        <v>8</v>
      </c>
      <c r="H412" s="8">
        <v>0.25</v>
      </c>
      <c r="I412" s="4">
        <v>0</v>
      </c>
    </row>
    <row r="413" spans="1:9" x14ac:dyDescent="0.2">
      <c r="A413" s="2">
        <v>8</v>
      </c>
      <c r="B413" s="1" t="s">
        <v>160</v>
      </c>
      <c r="C413" s="4">
        <v>170</v>
      </c>
      <c r="D413" s="8">
        <v>2.36</v>
      </c>
      <c r="E413" s="4">
        <v>61</v>
      </c>
      <c r="F413" s="8">
        <v>1.55</v>
      </c>
      <c r="G413" s="4">
        <v>109</v>
      </c>
      <c r="H413" s="8">
        <v>3.39</v>
      </c>
      <c r="I413" s="4">
        <v>0</v>
      </c>
    </row>
    <row r="414" spans="1:9" x14ac:dyDescent="0.2">
      <c r="A414" s="2">
        <v>9</v>
      </c>
      <c r="B414" s="1" t="s">
        <v>173</v>
      </c>
      <c r="C414" s="4">
        <v>143</v>
      </c>
      <c r="D414" s="8">
        <v>1.99</v>
      </c>
      <c r="E414" s="4">
        <v>119</v>
      </c>
      <c r="F414" s="8">
        <v>3.02</v>
      </c>
      <c r="G414" s="4">
        <v>24</v>
      </c>
      <c r="H414" s="8">
        <v>0.75</v>
      </c>
      <c r="I414" s="4">
        <v>0</v>
      </c>
    </row>
    <row r="415" spans="1:9" x14ac:dyDescent="0.2">
      <c r="A415" s="2">
        <v>10</v>
      </c>
      <c r="B415" s="1" t="s">
        <v>154</v>
      </c>
      <c r="C415" s="4">
        <v>141</v>
      </c>
      <c r="D415" s="8">
        <v>1.96</v>
      </c>
      <c r="E415" s="4">
        <v>24</v>
      </c>
      <c r="F415" s="8">
        <v>0.61</v>
      </c>
      <c r="G415" s="4">
        <v>117</v>
      </c>
      <c r="H415" s="8">
        <v>3.64</v>
      </c>
      <c r="I415" s="4">
        <v>0</v>
      </c>
    </row>
    <row r="416" spans="1:9" x14ac:dyDescent="0.2">
      <c r="A416" s="2">
        <v>11</v>
      </c>
      <c r="B416" s="1" t="s">
        <v>171</v>
      </c>
      <c r="C416" s="4">
        <v>136</v>
      </c>
      <c r="D416" s="8">
        <v>1.89</v>
      </c>
      <c r="E416" s="4">
        <v>106</v>
      </c>
      <c r="F416" s="8">
        <v>2.69</v>
      </c>
      <c r="G416" s="4">
        <v>30</v>
      </c>
      <c r="H416" s="8">
        <v>0.93</v>
      </c>
      <c r="I416" s="4">
        <v>0</v>
      </c>
    </row>
    <row r="417" spans="1:9" x14ac:dyDescent="0.2">
      <c r="A417" s="2">
        <v>12</v>
      </c>
      <c r="B417" s="1" t="s">
        <v>161</v>
      </c>
      <c r="C417" s="4">
        <v>133</v>
      </c>
      <c r="D417" s="8">
        <v>1.85</v>
      </c>
      <c r="E417" s="4">
        <v>97</v>
      </c>
      <c r="F417" s="8">
        <v>2.46</v>
      </c>
      <c r="G417" s="4">
        <v>36</v>
      </c>
      <c r="H417" s="8">
        <v>1.1200000000000001</v>
      </c>
      <c r="I417" s="4">
        <v>0</v>
      </c>
    </row>
    <row r="418" spans="1:9" x14ac:dyDescent="0.2">
      <c r="A418" s="2">
        <v>13</v>
      </c>
      <c r="B418" s="1" t="s">
        <v>159</v>
      </c>
      <c r="C418" s="4">
        <v>129</v>
      </c>
      <c r="D418" s="8">
        <v>1.79</v>
      </c>
      <c r="E418" s="4">
        <v>83</v>
      </c>
      <c r="F418" s="8">
        <v>2.11</v>
      </c>
      <c r="G418" s="4">
        <v>46</v>
      </c>
      <c r="H418" s="8">
        <v>1.43</v>
      </c>
      <c r="I418" s="4">
        <v>0</v>
      </c>
    </row>
    <row r="419" spans="1:9" x14ac:dyDescent="0.2">
      <c r="A419" s="2">
        <v>14</v>
      </c>
      <c r="B419" s="1" t="s">
        <v>158</v>
      </c>
      <c r="C419" s="4">
        <v>112</v>
      </c>
      <c r="D419" s="8">
        <v>1.56</v>
      </c>
      <c r="E419" s="4">
        <v>76</v>
      </c>
      <c r="F419" s="8">
        <v>1.93</v>
      </c>
      <c r="G419" s="4">
        <v>36</v>
      </c>
      <c r="H419" s="8">
        <v>1.1200000000000001</v>
      </c>
      <c r="I419" s="4">
        <v>0</v>
      </c>
    </row>
    <row r="420" spans="1:9" x14ac:dyDescent="0.2">
      <c r="A420" s="2">
        <v>15</v>
      </c>
      <c r="B420" s="1" t="s">
        <v>157</v>
      </c>
      <c r="C420" s="4">
        <v>111</v>
      </c>
      <c r="D420" s="8">
        <v>1.54</v>
      </c>
      <c r="E420" s="4">
        <v>56</v>
      </c>
      <c r="F420" s="8">
        <v>1.42</v>
      </c>
      <c r="G420" s="4">
        <v>55</v>
      </c>
      <c r="H420" s="8">
        <v>1.71</v>
      </c>
      <c r="I420" s="4">
        <v>0</v>
      </c>
    </row>
    <row r="421" spans="1:9" x14ac:dyDescent="0.2">
      <c r="A421" s="2">
        <v>16</v>
      </c>
      <c r="B421" s="1" t="s">
        <v>163</v>
      </c>
      <c r="C421" s="4">
        <v>110</v>
      </c>
      <c r="D421" s="8">
        <v>1.53</v>
      </c>
      <c r="E421" s="4">
        <v>25</v>
      </c>
      <c r="F421" s="8">
        <v>0.63</v>
      </c>
      <c r="G421" s="4">
        <v>84</v>
      </c>
      <c r="H421" s="8">
        <v>2.61</v>
      </c>
      <c r="I421" s="4">
        <v>1</v>
      </c>
    </row>
    <row r="422" spans="1:9" x14ac:dyDescent="0.2">
      <c r="A422" s="2">
        <v>17</v>
      </c>
      <c r="B422" s="1" t="s">
        <v>155</v>
      </c>
      <c r="C422" s="4">
        <v>104</v>
      </c>
      <c r="D422" s="8">
        <v>1.45</v>
      </c>
      <c r="E422" s="4">
        <v>16</v>
      </c>
      <c r="F422" s="8">
        <v>0.41</v>
      </c>
      <c r="G422" s="4">
        <v>88</v>
      </c>
      <c r="H422" s="8">
        <v>2.74</v>
      </c>
      <c r="I422" s="4">
        <v>0</v>
      </c>
    </row>
    <row r="423" spans="1:9" x14ac:dyDescent="0.2">
      <c r="A423" s="2">
        <v>18</v>
      </c>
      <c r="B423" s="1" t="s">
        <v>162</v>
      </c>
      <c r="C423" s="4">
        <v>99</v>
      </c>
      <c r="D423" s="8">
        <v>1.38</v>
      </c>
      <c r="E423" s="4">
        <v>36</v>
      </c>
      <c r="F423" s="8">
        <v>0.91</v>
      </c>
      <c r="G423" s="4">
        <v>63</v>
      </c>
      <c r="H423" s="8">
        <v>1.96</v>
      </c>
      <c r="I423" s="4">
        <v>0</v>
      </c>
    </row>
    <row r="424" spans="1:9" x14ac:dyDescent="0.2">
      <c r="A424" s="2">
        <v>19</v>
      </c>
      <c r="B424" s="1" t="s">
        <v>186</v>
      </c>
      <c r="C424" s="4">
        <v>98</v>
      </c>
      <c r="D424" s="8">
        <v>1.36</v>
      </c>
      <c r="E424" s="4">
        <v>41</v>
      </c>
      <c r="F424" s="8">
        <v>1.04</v>
      </c>
      <c r="G424" s="4">
        <v>57</v>
      </c>
      <c r="H424" s="8">
        <v>1.77</v>
      </c>
      <c r="I424" s="4">
        <v>0</v>
      </c>
    </row>
    <row r="425" spans="1:9" x14ac:dyDescent="0.2">
      <c r="A425" s="2">
        <v>20</v>
      </c>
      <c r="B425" s="1" t="s">
        <v>156</v>
      </c>
      <c r="C425" s="4">
        <v>97</v>
      </c>
      <c r="D425" s="8">
        <v>1.35</v>
      </c>
      <c r="E425" s="4">
        <v>38</v>
      </c>
      <c r="F425" s="8">
        <v>0.96</v>
      </c>
      <c r="G425" s="4">
        <v>59</v>
      </c>
      <c r="H425" s="8">
        <v>1.84</v>
      </c>
      <c r="I425" s="4">
        <v>0</v>
      </c>
    </row>
    <row r="426" spans="1:9" x14ac:dyDescent="0.2">
      <c r="A426" s="1"/>
      <c r="C426" s="4"/>
      <c r="D426" s="8"/>
      <c r="E426" s="4"/>
      <c r="F426" s="8"/>
      <c r="G426" s="4"/>
      <c r="H426" s="8"/>
      <c r="I426" s="4"/>
    </row>
    <row r="427" spans="1:9" x14ac:dyDescent="0.2">
      <c r="A427" s="1" t="s">
        <v>19</v>
      </c>
      <c r="C427" s="4"/>
      <c r="D427" s="8"/>
      <c r="E427" s="4"/>
      <c r="F427" s="8"/>
      <c r="G427" s="4"/>
      <c r="H427" s="8"/>
      <c r="I427" s="4"/>
    </row>
    <row r="428" spans="1:9" x14ac:dyDescent="0.2">
      <c r="A428" s="2">
        <v>1</v>
      </c>
      <c r="B428" s="1" t="s">
        <v>170</v>
      </c>
      <c r="C428" s="4">
        <v>84</v>
      </c>
      <c r="D428" s="8">
        <v>5.98</v>
      </c>
      <c r="E428" s="4">
        <v>76</v>
      </c>
      <c r="F428" s="8">
        <v>10.54</v>
      </c>
      <c r="G428" s="4">
        <v>8</v>
      </c>
      <c r="H428" s="8">
        <v>1.19</v>
      </c>
      <c r="I428" s="4">
        <v>0</v>
      </c>
    </row>
    <row r="429" spans="1:9" x14ac:dyDescent="0.2">
      <c r="A429" s="2">
        <v>2</v>
      </c>
      <c r="B429" s="1" t="s">
        <v>154</v>
      </c>
      <c r="C429" s="4">
        <v>54</v>
      </c>
      <c r="D429" s="8">
        <v>3.84</v>
      </c>
      <c r="E429" s="4">
        <v>10</v>
      </c>
      <c r="F429" s="8">
        <v>1.39</v>
      </c>
      <c r="G429" s="4">
        <v>44</v>
      </c>
      <c r="H429" s="8">
        <v>6.53</v>
      </c>
      <c r="I429" s="4">
        <v>0</v>
      </c>
    </row>
    <row r="430" spans="1:9" x14ac:dyDescent="0.2">
      <c r="A430" s="2">
        <v>3</v>
      </c>
      <c r="B430" s="1" t="s">
        <v>169</v>
      </c>
      <c r="C430" s="4">
        <v>45</v>
      </c>
      <c r="D430" s="8">
        <v>3.2</v>
      </c>
      <c r="E430" s="4">
        <v>45</v>
      </c>
      <c r="F430" s="8">
        <v>6.24</v>
      </c>
      <c r="G430" s="4">
        <v>0</v>
      </c>
      <c r="H430" s="8">
        <v>0</v>
      </c>
      <c r="I430" s="4">
        <v>0</v>
      </c>
    </row>
    <row r="431" spans="1:9" x14ac:dyDescent="0.2">
      <c r="A431" s="2">
        <v>4</v>
      </c>
      <c r="B431" s="1" t="s">
        <v>168</v>
      </c>
      <c r="C431" s="4">
        <v>43</v>
      </c>
      <c r="D431" s="8">
        <v>3.06</v>
      </c>
      <c r="E431" s="4">
        <v>42</v>
      </c>
      <c r="F431" s="8">
        <v>5.83</v>
      </c>
      <c r="G431" s="4">
        <v>1</v>
      </c>
      <c r="H431" s="8">
        <v>0.15</v>
      </c>
      <c r="I431" s="4">
        <v>0</v>
      </c>
    </row>
    <row r="432" spans="1:9" x14ac:dyDescent="0.2">
      <c r="A432" s="2">
        <v>5</v>
      </c>
      <c r="B432" s="1" t="s">
        <v>172</v>
      </c>
      <c r="C432" s="4">
        <v>37</v>
      </c>
      <c r="D432" s="8">
        <v>2.63</v>
      </c>
      <c r="E432" s="4">
        <v>31</v>
      </c>
      <c r="F432" s="8">
        <v>4.3</v>
      </c>
      <c r="G432" s="4">
        <v>5</v>
      </c>
      <c r="H432" s="8">
        <v>0.74</v>
      </c>
      <c r="I432" s="4">
        <v>1</v>
      </c>
    </row>
    <row r="433" spans="1:9" x14ac:dyDescent="0.2">
      <c r="A433" s="2">
        <v>6</v>
      </c>
      <c r="B433" s="1" t="s">
        <v>161</v>
      </c>
      <c r="C433" s="4">
        <v>35</v>
      </c>
      <c r="D433" s="8">
        <v>2.4900000000000002</v>
      </c>
      <c r="E433" s="4">
        <v>24</v>
      </c>
      <c r="F433" s="8">
        <v>3.33</v>
      </c>
      <c r="G433" s="4">
        <v>11</v>
      </c>
      <c r="H433" s="8">
        <v>1.63</v>
      </c>
      <c r="I433" s="4">
        <v>0</v>
      </c>
    </row>
    <row r="434" spans="1:9" x14ac:dyDescent="0.2">
      <c r="A434" s="2">
        <v>6</v>
      </c>
      <c r="B434" s="1" t="s">
        <v>164</v>
      </c>
      <c r="C434" s="4">
        <v>35</v>
      </c>
      <c r="D434" s="8">
        <v>2.4900000000000002</v>
      </c>
      <c r="E434" s="4">
        <v>7</v>
      </c>
      <c r="F434" s="8">
        <v>0.97</v>
      </c>
      <c r="G434" s="4">
        <v>27</v>
      </c>
      <c r="H434" s="8">
        <v>4.01</v>
      </c>
      <c r="I434" s="4">
        <v>0</v>
      </c>
    </row>
    <row r="435" spans="1:9" x14ac:dyDescent="0.2">
      <c r="A435" s="2">
        <v>8</v>
      </c>
      <c r="B435" s="1" t="s">
        <v>157</v>
      </c>
      <c r="C435" s="4">
        <v>34</v>
      </c>
      <c r="D435" s="8">
        <v>2.42</v>
      </c>
      <c r="E435" s="4">
        <v>14</v>
      </c>
      <c r="F435" s="8">
        <v>1.94</v>
      </c>
      <c r="G435" s="4">
        <v>20</v>
      </c>
      <c r="H435" s="8">
        <v>2.97</v>
      </c>
      <c r="I435" s="4">
        <v>0</v>
      </c>
    </row>
    <row r="436" spans="1:9" x14ac:dyDescent="0.2">
      <c r="A436" s="2">
        <v>9</v>
      </c>
      <c r="B436" s="1" t="s">
        <v>158</v>
      </c>
      <c r="C436" s="4">
        <v>31</v>
      </c>
      <c r="D436" s="8">
        <v>2.21</v>
      </c>
      <c r="E436" s="4">
        <v>18</v>
      </c>
      <c r="F436" s="8">
        <v>2.5</v>
      </c>
      <c r="G436" s="4">
        <v>13</v>
      </c>
      <c r="H436" s="8">
        <v>1.93</v>
      </c>
      <c r="I436" s="4">
        <v>0</v>
      </c>
    </row>
    <row r="437" spans="1:9" x14ac:dyDescent="0.2">
      <c r="A437" s="2">
        <v>9</v>
      </c>
      <c r="B437" s="1" t="s">
        <v>159</v>
      </c>
      <c r="C437" s="4">
        <v>31</v>
      </c>
      <c r="D437" s="8">
        <v>2.21</v>
      </c>
      <c r="E437" s="4">
        <v>20</v>
      </c>
      <c r="F437" s="8">
        <v>2.77</v>
      </c>
      <c r="G437" s="4">
        <v>11</v>
      </c>
      <c r="H437" s="8">
        <v>1.63</v>
      </c>
      <c r="I437" s="4">
        <v>0</v>
      </c>
    </row>
    <row r="438" spans="1:9" x14ac:dyDescent="0.2">
      <c r="A438" s="2">
        <v>11</v>
      </c>
      <c r="B438" s="1" t="s">
        <v>177</v>
      </c>
      <c r="C438" s="4">
        <v>30</v>
      </c>
      <c r="D438" s="8">
        <v>2.14</v>
      </c>
      <c r="E438" s="4">
        <v>24</v>
      </c>
      <c r="F438" s="8">
        <v>3.33</v>
      </c>
      <c r="G438" s="4">
        <v>6</v>
      </c>
      <c r="H438" s="8">
        <v>0.89</v>
      </c>
      <c r="I438" s="4">
        <v>0</v>
      </c>
    </row>
    <row r="439" spans="1:9" x14ac:dyDescent="0.2">
      <c r="A439" s="2">
        <v>11</v>
      </c>
      <c r="B439" s="1" t="s">
        <v>160</v>
      </c>
      <c r="C439" s="4">
        <v>30</v>
      </c>
      <c r="D439" s="8">
        <v>2.14</v>
      </c>
      <c r="E439" s="4">
        <v>8</v>
      </c>
      <c r="F439" s="8">
        <v>1.1100000000000001</v>
      </c>
      <c r="G439" s="4">
        <v>22</v>
      </c>
      <c r="H439" s="8">
        <v>3.26</v>
      </c>
      <c r="I439" s="4">
        <v>0</v>
      </c>
    </row>
    <row r="440" spans="1:9" x14ac:dyDescent="0.2">
      <c r="A440" s="2">
        <v>13</v>
      </c>
      <c r="B440" s="1" t="s">
        <v>167</v>
      </c>
      <c r="C440" s="4">
        <v>28</v>
      </c>
      <c r="D440" s="8">
        <v>1.99</v>
      </c>
      <c r="E440" s="4">
        <v>24</v>
      </c>
      <c r="F440" s="8">
        <v>3.33</v>
      </c>
      <c r="G440" s="4">
        <v>4</v>
      </c>
      <c r="H440" s="8">
        <v>0.59</v>
      </c>
      <c r="I440" s="4">
        <v>0</v>
      </c>
    </row>
    <row r="441" spans="1:9" x14ac:dyDescent="0.2">
      <c r="A441" s="2">
        <v>14</v>
      </c>
      <c r="B441" s="1" t="s">
        <v>178</v>
      </c>
      <c r="C441" s="4">
        <v>21</v>
      </c>
      <c r="D441" s="8">
        <v>1.49</v>
      </c>
      <c r="E441" s="4">
        <v>19</v>
      </c>
      <c r="F441" s="8">
        <v>2.64</v>
      </c>
      <c r="G441" s="4">
        <v>2</v>
      </c>
      <c r="H441" s="8">
        <v>0.3</v>
      </c>
      <c r="I441" s="4">
        <v>0</v>
      </c>
    </row>
    <row r="442" spans="1:9" x14ac:dyDescent="0.2">
      <c r="A442" s="2">
        <v>15</v>
      </c>
      <c r="B442" s="1" t="s">
        <v>155</v>
      </c>
      <c r="C442" s="4">
        <v>19</v>
      </c>
      <c r="D442" s="8">
        <v>1.35</v>
      </c>
      <c r="E442" s="4">
        <v>4</v>
      </c>
      <c r="F442" s="8">
        <v>0.55000000000000004</v>
      </c>
      <c r="G442" s="4">
        <v>15</v>
      </c>
      <c r="H442" s="8">
        <v>2.23</v>
      </c>
      <c r="I442" s="4">
        <v>0</v>
      </c>
    </row>
    <row r="443" spans="1:9" x14ac:dyDescent="0.2">
      <c r="A443" s="2">
        <v>15</v>
      </c>
      <c r="B443" s="1" t="s">
        <v>156</v>
      </c>
      <c r="C443" s="4">
        <v>19</v>
      </c>
      <c r="D443" s="8">
        <v>1.35</v>
      </c>
      <c r="E443" s="4">
        <v>7</v>
      </c>
      <c r="F443" s="8">
        <v>0.97</v>
      </c>
      <c r="G443" s="4">
        <v>12</v>
      </c>
      <c r="H443" s="8">
        <v>1.78</v>
      </c>
      <c r="I443" s="4">
        <v>0</v>
      </c>
    </row>
    <row r="444" spans="1:9" x14ac:dyDescent="0.2">
      <c r="A444" s="2">
        <v>15</v>
      </c>
      <c r="B444" s="1" t="s">
        <v>207</v>
      </c>
      <c r="C444" s="4">
        <v>19</v>
      </c>
      <c r="D444" s="8">
        <v>1.35</v>
      </c>
      <c r="E444" s="4">
        <v>5</v>
      </c>
      <c r="F444" s="8">
        <v>0.69</v>
      </c>
      <c r="G444" s="4">
        <v>14</v>
      </c>
      <c r="H444" s="8">
        <v>2.08</v>
      </c>
      <c r="I444" s="4">
        <v>0</v>
      </c>
    </row>
    <row r="445" spans="1:9" x14ac:dyDescent="0.2">
      <c r="A445" s="2">
        <v>15</v>
      </c>
      <c r="B445" s="1" t="s">
        <v>173</v>
      </c>
      <c r="C445" s="4">
        <v>19</v>
      </c>
      <c r="D445" s="8">
        <v>1.35</v>
      </c>
      <c r="E445" s="4">
        <v>16</v>
      </c>
      <c r="F445" s="8">
        <v>2.2200000000000002</v>
      </c>
      <c r="G445" s="4">
        <v>3</v>
      </c>
      <c r="H445" s="8">
        <v>0.45</v>
      </c>
      <c r="I445" s="4">
        <v>0</v>
      </c>
    </row>
    <row r="446" spans="1:9" x14ac:dyDescent="0.2">
      <c r="A446" s="2">
        <v>19</v>
      </c>
      <c r="B446" s="1" t="s">
        <v>171</v>
      </c>
      <c r="C446" s="4">
        <v>17</v>
      </c>
      <c r="D446" s="8">
        <v>1.21</v>
      </c>
      <c r="E446" s="4">
        <v>10</v>
      </c>
      <c r="F446" s="8">
        <v>1.39</v>
      </c>
      <c r="G446" s="4">
        <v>7</v>
      </c>
      <c r="H446" s="8">
        <v>1.04</v>
      </c>
      <c r="I446" s="4">
        <v>0</v>
      </c>
    </row>
    <row r="447" spans="1:9" x14ac:dyDescent="0.2">
      <c r="A447" s="2">
        <v>20</v>
      </c>
      <c r="B447" s="1" t="s">
        <v>180</v>
      </c>
      <c r="C447" s="4">
        <v>16</v>
      </c>
      <c r="D447" s="8">
        <v>1.1399999999999999</v>
      </c>
      <c r="E447" s="4">
        <v>2</v>
      </c>
      <c r="F447" s="8">
        <v>0.28000000000000003</v>
      </c>
      <c r="G447" s="4">
        <v>14</v>
      </c>
      <c r="H447" s="8">
        <v>2.08</v>
      </c>
      <c r="I447" s="4">
        <v>0</v>
      </c>
    </row>
    <row r="448" spans="1:9" x14ac:dyDescent="0.2">
      <c r="A448" s="2">
        <v>20</v>
      </c>
      <c r="B448" s="1" t="s">
        <v>206</v>
      </c>
      <c r="C448" s="4">
        <v>16</v>
      </c>
      <c r="D448" s="8">
        <v>1.1399999999999999</v>
      </c>
      <c r="E448" s="4">
        <v>4</v>
      </c>
      <c r="F448" s="8">
        <v>0.55000000000000004</v>
      </c>
      <c r="G448" s="4">
        <v>12</v>
      </c>
      <c r="H448" s="8">
        <v>1.78</v>
      </c>
      <c r="I448" s="4">
        <v>0</v>
      </c>
    </row>
    <row r="449" spans="1:9" x14ac:dyDescent="0.2">
      <c r="A449" s="2">
        <v>20</v>
      </c>
      <c r="B449" s="1" t="s">
        <v>199</v>
      </c>
      <c r="C449" s="4">
        <v>16</v>
      </c>
      <c r="D449" s="8">
        <v>1.1399999999999999</v>
      </c>
      <c r="E449" s="4">
        <v>15</v>
      </c>
      <c r="F449" s="8">
        <v>2.08</v>
      </c>
      <c r="G449" s="4">
        <v>1</v>
      </c>
      <c r="H449" s="8">
        <v>0.15</v>
      </c>
      <c r="I449" s="4">
        <v>0</v>
      </c>
    </row>
    <row r="450" spans="1:9" x14ac:dyDescent="0.2">
      <c r="A450" s="1"/>
      <c r="C450" s="4"/>
      <c r="D450" s="8"/>
      <c r="E450" s="4"/>
      <c r="F450" s="8"/>
      <c r="G450" s="4"/>
      <c r="H450" s="8"/>
      <c r="I450" s="4"/>
    </row>
    <row r="451" spans="1:9" x14ac:dyDescent="0.2">
      <c r="A451" s="1" t="s">
        <v>20</v>
      </c>
      <c r="C451" s="4"/>
      <c r="D451" s="8"/>
      <c r="E451" s="4"/>
      <c r="F451" s="8"/>
      <c r="G451" s="4"/>
      <c r="H451" s="8"/>
      <c r="I451" s="4"/>
    </row>
    <row r="452" spans="1:9" x14ac:dyDescent="0.2">
      <c r="A452" s="2">
        <v>1</v>
      </c>
      <c r="B452" s="1" t="s">
        <v>170</v>
      </c>
      <c r="C452" s="4">
        <v>179</v>
      </c>
      <c r="D452" s="8">
        <v>6.26</v>
      </c>
      <c r="E452" s="4">
        <v>163</v>
      </c>
      <c r="F452" s="8">
        <v>10.23</v>
      </c>
      <c r="G452" s="4">
        <v>16</v>
      </c>
      <c r="H452" s="8">
        <v>1.28</v>
      </c>
      <c r="I452" s="4">
        <v>0</v>
      </c>
    </row>
    <row r="453" spans="1:9" x14ac:dyDescent="0.2">
      <c r="A453" s="2">
        <v>2</v>
      </c>
      <c r="B453" s="1" t="s">
        <v>169</v>
      </c>
      <c r="C453" s="4">
        <v>115</v>
      </c>
      <c r="D453" s="8">
        <v>4.0199999999999996</v>
      </c>
      <c r="E453" s="4">
        <v>110</v>
      </c>
      <c r="F453" s="8">
        <v>6.91</v>
      </c>
      <c r="G453" s="4">
        <v>5</v>
      </c>
      <c r="H453" s="8">
        <v>0.4</v>
      </c>
      <c r="I453" s="4">
        <v>0</v>
      </c>
    </row>
    <row r="454" spans="1:9" x14ac:dyDescent="0.2">
      <c r="A454" s="2">
        <v>3</v>
      </c>
      <c r="B454" s="1" t="s">
        <v>154</v>
      </c>
      <c r="C454" s="4">
        <v>98</v>
      </c>
      <c r="D454" s="8">
        <v>3.43</v>
      </c>
      <c r="E454" s="4">
        <v>14</v>
      </c>
      <c r="F454" s="8">
        <v>0.88</v>
      </c>
      <c r="G454" s="4">
        <v>84</v>
      </c>
      <c r="H454" s="8">
        <v>6.74</v>
      </c>
      <c r="I454" s="4">
        <v>0</v>
      </c>
    </row>
    <row r="455" spans="1:9" x14ac:dyDescent="0.2">
      <c r="A455" s="2">
        <v>4</v>
      </c>
      <c r="B455" s="1" t="s">
        <v>167</v>
      </c>
      <c r="C455" s="4">
        <v>89</v>
      </c>
      <c r="D455" s="8">
        <v>3.11</v>
      </c>
      <c r="E455" s="4">
        <v>87</v>
      </c>
      <c r="F455" s="8">
        <v>5.46</v>
      </c>
      <c r="G455" s="4">
        <v>2</v>
      </c>
      <c r="H455" s="8">
        <v>0.16</v>
      </c>
      <c r="I455" s="4">
        <v>0</v>
      </c>
    </row>
    <row r="456" spans="1:9" x14ac:dyDescent="0.2">
      <c r="A456" s="2">
        <v>5</v>
      </c>
      <c r="B456" s="1" t="s">
        <v>159</v>
      </c>
      <c r="C456" s="4">
        <v>76</v>
      </c>
      <c r="D456" s="8">
        <v>2.66</v>
      </c>
      <c r="E456" s="4">
        <v>53</v>
      </c>
      <c r="F456" s="8">
        <v>3.33</v>
      </c>
      <c r="G456" s="4">
        <v>23</v>
      </c>
      <c r="H456" s="8">
        <v>1.84</v>
      </c>
      <c r="I456" s="4">
        <v>0</v>
      </c>
    </row>
    <row r="457" spans="1:9" x14ac:dyDescent="0.2">
      <c r="A457" s="2">
        <v>5</v>
      </c>
      <c r="B457" s="1" t="s">
        <v>172</v>
      </c>
      <c r="C457" s="4">
        <v>76</v>
      </c>
      <c r="D457" s="8">
        <v>2.66</v>
      </c>
      <c r="E457" s="4">
        <v>67</v>
      </c>
      <c r="F457" s="8">
        <v>4.21</v>
      </c>
      <c r="G457" s="4">
        <v>9</v>
      </c>
      <c r="H457" s="8">
        <v>0.72</v>
      </c>
      <c r="I457" s="4">
        <v>0</v>
      </c>
    </row>
    <row r="458" spans="1:9" x14ac:dyDescent="0.2">
      <c r="A458" s="2">
        <v>7</v>
      </c>
      <c r="B458" s="1" t="s">
        <v>166</v>
      </c>
      <c r="C458" s="4">
        <v>73</v>
      </c>
      <c r="D458" s="8">
        <v>2.5499999999999998</v>
      </c>
      <c r="E458" s="4">
        <v>64</v>
      </c>
      <c r="F458" s="8">
        <v>4.0199999999999996</v>
      </c>
      <c r="G458" s="4">
        <v>9</v>
      </c>
      <c r="H458" s="8">
        <v>0.72</v>
      </c>
      <c r="I458" s="4">
        <v>0</v>
      </c>
    </row>
    <row r="459" spans="1:9" x14ac:dyDescent="0.2">
      <c r="A459" s="2">
        <v>8</v>
      </c>
      <c r="B459" s="1" t="s">
        <v>158</v>
      </c>
      <c r="C459" s="4">
        <v>66</v>
      </c>
      <c r="D459" s="8">
        <v>2.31</v>
      </c>
      <c r="E459" s="4">
        <v>48</v>
      </c>
      <c r="F459" s="8">
        <v>3.01</v>
      </c>
      <c r="G459" s="4">
        <v>18</v>
      </c>
      <c r="H459" s="8">
        <v>1.44</v>
      </c>
      <c r="I459" s="4">
        <v>0</v>
      </c>
    </row>
    <row r="460" spans="1:9" x14ac:dyDescent="0.2">
      <c r="A460" s="2">
        <v>9</v>
      </c>
      <c r="B460" s="1" t="s">
        <v>164</v>
      </c>
      <c r="C460" s="4">
        <v>65</v>
      </c>
      <c r="D460" s="8">
        <v>2.27</v>
      </c>
      <c r="E460" s="4">
        <v>19</v>
      </c>
      <c r="F460" s="8">
        <v>1.19</v>
      </c>
      <c r="G460" s="4">
        <v>46</v>
      </c>
      <c r="H460" s="8">
        <v>3.69</v>
      </c>
      <c r="I460" s="4">
        <v>0</v>
      </c>
    </row>
    <row r="461" spans="1:9" x14ac:dyDescent="0.2">
      <c r="A461" s="2">
        <v>10</v>
      </c>
      <c r="B461" s="1" t="s">
        <v>160</v>
      </c>
      <c r="C461" s="4">
        <v>63</v>
      </c>
      <c r="D461" s="8">
        <v>2.2000000000000002</v>
      </c>
      <c r="E461" s="4">
        <v>18</v>
      </c>
      <c r="F461" s="8">
        <v>1.1299999999999999</v>
      </c>
      <c r="G461" s="4">
        <v>45</v>
      </c>
      <c r="H461" s="8">
        <v>3.61</v>
      </c>
      <c r="I461" s="4">
        <v>0</v>
      </c>
    </row>
    <row r="462" spans="1:9" x14ac:dyDescent="0.2">
      <c r="A462" s="2">
        <v>10</v>
      </c>
      <c r="B462" s="1" t="s">
        <v>161</v>
      </c>
      <c r="C462" s="4">
        <v>63</v>
      </c>
      <c r="D462" s="8">
        <v>2.2000000000000002</v>
      </c>
      <c r="E462" s="4">
        <v>48</v>
      </c>
      <c r="F462" s="8">
        <v>3.01</v>
      </c>
      <c r="G462" s="4">
        <v>15</v>
      </c>
      <c r="H462" s="8">
        <v>1.2</v>
      </c>
      <c r="I462" s="4">
        <v>0</v>
      </c>
    </row>
    <row r="463" spans="1:9" x14ac:dyDescent="0.2">
      <c r="A463" s="2">
        <v>12</v>
      </c>
      <c r="B463" s="1" t="s">
        <v>168</v>
      </c>
      <c r="C463" s="4">
        <v>62</v>
      </c>
      <c r="D463" s="8">
        <v>2.17</v>
      </c>
      <c r="E463" s="4">
        <v>60</v>
      </c>
      <c r="F463" s="8">
        <v>3.77</v>
      </c>
      <c r="G463" s="4">
        <v>2</v>
      </c>
      <c r="H463" s="8">
        <v>0.16</v>
      </c>
      <c r="I463" s="4">
        <v>0</v>
      </c>
    </row>
    <row r="464" spans="1:9" x14ac:dyDescent="0.2">
      <c r="A464" s="2">
        <v>13</v>
      </c>
      <c r="B464" s="1" t="s">
        <v>173</v>
      </c>
      <c r="C464" s="4">
        <v>61</v>
      </c>
      <c r="D464" s="8">
        <v>2.13</v>
      </c>
      <c r="E464" s="4">
        <v>50</v>
      </c>
      <c r="F464" s="8">
        <v>3.14</v>
      </c>
      <c r="G464" s="4">
        <v>11</v>
      </c>
      <c r="H464" s="8">
        <v>0.88</v>
      </c>
      <c r="I464" s="4">
        <v>0</v>
      </c>
    </row>
    <row r="465" spans="1:9" x14ac:dyDescent="0.2">
      <c r="A465" s="2">
        <v>14</v>
      </c>
      <c r="B465" s="1" t="s">
        <v>157</v>
      </c>
      <c r="C465" s="4">
        <v>58</v>
      </c>
      <c r="D465" s="8">
        <v>2.0299999999999998</v>
      </c>
      <c r="E465" s="4">
        <v>35</v>
      </c>
      <c r="F465" s="8">
        <v>2.2000000000000002</v>
      </c>
      <c r="G465" s="4">
        <v>23</v>
      </c>
      <c r="H465" s="8">
        <v>1.84</v>
      </c>
      <c r="I465" s="4">
        <v>0</v>
      </c>
    </row>
    <row r="466" spans="1:9" x14ac:dyDescent="0.2">
      <c r="A466" s="2">
        <v>15</v>
      </c>
      <c r="B466" s="1" t="s">
        <v>155</v>
      </c>
      <c r="C466" s="4">
        <v>51</v>
      </c>
      <c r="D466" s="8">
        <v>1.78</v>
      </c>
      <c r="E466" s="4">
        <v>10</v>
      </c>
      <c r="F466" s="8">
        <v>0.63</v>
      </c>
      <c r="G466" s="4">
        <v>41</v>
      </c>
      <c r="H466" s="8">
        <v>3.29</v>
      </c>
      <c r="I466" s="4">
        <v>0</v>
      </c>
    </row>
    <row r="467" spans="1:9" x14ac:dyDescent="0.2">
      <c r="A467" s="2">
        <v>16</v>
      </c>
      <c r="B467" s="1" t="s">
        <v>208</v>
      </c>
      <c r="C467" s="4">
        <v>39</v>
      </c>
      <c r="D467" s="8">
        <v>1.36</v>
      </c>
      <c r="E467" s="4">
        <v>28</v>
      </c>
      <c r="F467" s="8">
        <v>1.76</v>
      </c>
      <c r="G467" s="4">
        <v>11</v>
      </c>
      <c r="H467" s="8">
        <v>0.88</v>
      </c>
      <c r="I467" s="4">
        <v>0</v>
      </c>
    </row>
    <row r="468" spans="1:9" x14ac:dyDescent="0.2">
      <c r="A468" s="2">
        <v>16</v>
      </c>
      <c r="B468" s="1" t="s">
        <v>163</v>
      </c>
      <c r="C468" s="4">
        <v>39</v>
      </c>
      <c r="D468" s="8">
        <v>1.36</v>
      </c>
      <c r="E468" s="4">
        <v>2</v>
      </c>
      <c r="F468" s="8">
        <v>0.13</v>
      </c>
      <c r="G468" s="4">
        <v>37</v>
      </c>
      <c r="H468" s="8">
        <v>2.97</v>
      </c>
      <c r="I468" s="4">
        <v>0</v>
      </c>
    </row>
    <row r="469" spans="1:9" x14ac:dyDescent="0.2">
      <c r="A469" s="2">
        <v>18</v>
      </c>
      <c r="B469" s="1" t="s">
        <v>156</v>
      </c>
      <c r="C469" s="4">
        <v>37</v>
      </c>
      <c r="D469" s="8">
        <v>1.29</v>
      </c>
      <c r="E469" s="4">
        <v>11</v>
      </c>
      <c r="F469" s="8">
        <v>0.69</v>
      </c>
      <c r="G469" s="4">
        <v>26</v>
      </c>
      <c r="H469" s="8">
        <v>2.09</v>
      </c>
      <c r="I469" s="4">
        <v>0</v>
      </c>
    </row>
    <row r="470" spans="1:9" x14ac:dyDescent="0.2">
      <c r="A470" s="2">
        <v>19</v>
      </c>
      <c r="B470" s="1" t="s">
        <v>171</v>
      </c>
      <c r="C470" s="4">
        <v>34</v>
      </c>
      <c r="D470" s="8">
        <v>1.19</v>
      </c>
      <c r="E470" s="4">
        <v>25</v>
      </c>
      <c r="F470" s="8">
        <v>1.57</v>
      </c>
      <c r="G470" s="4">
        <v>9</v>
      </c>
      <c r="H470" s="8">
        <v>0.72</v>
      </c>
      <c r="I470" s="4">
        <v>0</v>
      </c>
    </row>
    <row r="471" spans="1:9" x14ac:dyDescent="0.2">
      <c r="A471" s="2">
        <v>20</v>
      </c>
      <c r="B471" s="1" t="s">
        <v>177</v>
      </c>
      <c r="C471" s="4">
        <v>33</v>
      </c>
      <c r="D471" s="8">
        <v>1.1499999999999999</v>
      </c>
      <c r="E471" s="4">
        <v>23</v>
      </c>
      <c r="F471" s="8">
        <v>1.44</v>
      </c>
      <c r="G471" s="4">
        <v>10</v>
      </c>
      <c r="H471" s="8">
        <v>0.8</v>
      </c>
      <c r="I471" s="4">
        <v>0</v>
      </c>
    </row>
    <row r="472" spans="1:9" x14ac:dyDescent="0.2">
      <c r="A472" s="1"/>
      <c r="C472" s="4"/>
      <c r="D472" s="8"/>
      <c r="E472" s="4"/>
      <c r="F472" s="8"/>
      <c r="G472" s="4"/>
      <c r="H472" s="8"/>
      <c r="I472" s="4"/>
    </row>
    <row r="473" spans="1:9" x14ac:dyDescent="0.2">
      <c r="A473" s="1" t="s">
        <v>21</v>
      </c>
      <c r="C473" s="4"/>
      <c r="D473" s="8"/>
      <c r="E473" s="4"/>
      <c r="F473" s="8"/>
      <c r="G473" s="4"/>
      <c r="H473" s="8"/>
      <c r="I473" s="4"/>
    </row>
    <row r="474" spans="1:9" x14ac:dyDescent="0.2">
      <c r="A474" s="2">
        <v>1</v>
      </c>
      <c r="B474" s="1" t="s">
        <v>170</v>
      </c>
      <c r="C474" s="4">
        <v>99</v>
      </c>
      <c r="D474" s="8">
        <v>7.91</v>
      </c>
      <c r="E474" s="4">
        <v>94</v>
      </c>
      <c r="F474" s="8">
        <v>11.81</v>
      </c>
      <c r="G474" s="4">
        <v>5</v>
      </c>
      <c r="H474" s="8">
        <v>1.1299999999999999</v>
      </c>
      <c r="I474" s="4">
        <v>0</v>
      </c>
    </row>
    <row r="475" spans="1:9" x14ac:dyDescent="0.2">
      <c r="A475" s="2">
        <v>2</v>
      </c>
      <c r="B475" s="1" t="s">
        <v>168</v>
      </c>
      <c r="C475" s="4">
        <v>56</v>
      </c>
      <c r="D475" s="8">
        <v>4.4800000000000004</v>
      </c>
      <c r="E475" s="4">
        <v>56</v>
      </c>
      <c r="F475" s="8">
        <v>7.04</v>
      </c>
      <c r="G475" s="4">
        <v>0</v>
      </c>
      <c r="H475" s="8">
        <v>0</v>
      </c>
      <c r="I475" s="4">
        <v>0</v>
      </c>
    </row>
    <row r="476" spans="1:9" x14ac:dyDescent="0.2">
      <c r="A476" s="2">
        <v>3</v>
      </c>
      <c r="B476" s="1" t="s">
        <v>169</v>
      </c>
      <c r="C476" s="4">
        <v>46</v>
      </c>
      <c r="D476" s="8">
        <v>3.68</v>
      </c>
      <c r="E476" s="4">
        <v>44</v>
      </c>
      <c r="F476" s="8">
        <v>5.53</v>
      </c>
      <c r="G476" s="4">
        <v>2</v>
      </c>
      <c r="H476" s="8">
        <v>0.45</v>
      </c>
      <c r="I476" s="4">
        <v>0</v>
      </c>
    </row>
    <row r="477" spans="1:9" x14ac:dyDescent="0.2">
      <c r="A477" s="2">
        <v>4</v>
      </c>
      <c r="B477" s="1" t="s">
        <v>167</v>
      </c>
      <c r="C477" s="4">
        <v>39</v>
      </c>
      <c r="D477" s="8">
        <v>3.12</v>
      </c>
      <c r="E477" s="4">
        <v>39</v>
      </c>
      <c r="F477" s="8">
        <v>4.9000000000000004</v>
      </c>
      <c r="G477" s="4">
        <v>0</v>
      </c>
      <c r="H477" s="8">
        <v>0</v>
      </c>
      <c r="I477" s="4">
        <v>0</v>
      </c>
    </row>
    <row r="478" spans="1:9" x14ac:dyDescent="0.2">
      <c r="A478" s="2">
        <v>5</v>
      </c>
      <c r="B478" s="1" t="s">
        <v>161</v>
      </c>
      <c r="C478" s="4">
        <v>38</v>
      </c>
      <c r="D478" s="8">
        <v>3.04</v>
      </c>
      <c r="E478" s="4">
        <v>30</v>
      </c>
      <c r="F478" s="8">
        <v>3.77</v>
      </c>
      <c r="G478" s="4">
        <v>8</v>
      </c>
      <c r="H478" s="8">
        <v>1.8</v>
      </c>
      <c r="I478" s="4">
        <v>0</v>
      </c>
    </row>
    <row r="479" spans="1:9" x14ac:dyDescent="0.2">
      <c r="A479" s="2">
        <v>6</v>
      </c>
      <c r="B479" s="1" t="s">
        <v>154</v>
      </c>
      <c r="C479" s="4">
        <v>36</v>
      </c>
      <c r="D479" s="8">
        <v>2.88</v>
      </c>
      <c r="E479" s="4">
        <v>9</v>
      </c>
      <c r="F479" s="8">
        <v>1.1299999999999999</v>
      </c>
      <c r="G479" s="4">
        <v>27</v>
      </c>
      <c r="H479" s="8">
        <v>6.08</v>
      </c>
      <c r="I479" s="4">
        <v>0</v>
      </c>
    </row>
    <row r="480" spans="1:9" x14ac:dyDescent="0.2">
      <c r="A480" s="2">
        <v>7</v>
      </c>
      <c r="B480" s="1" t="s">
        <v>158</v>
      </c>
      <c r="C480" s="4">
        <v>34</v>
      </c>
      <c r="D480" s="8">
        <v>2.72</v>
      </c>
      <c r="E480" s="4">
        <v>24</v>
      </c>
      <c r="F480" s="8">
        <v>3.02</v>
      </c>
      <c r="G480" s="4">
        <v>10</v>
      </c>
      <c r="H480" s="8">
        <v>2.25</v>
      </c>
      <c r="I480" s="4">
        <v>0</v>
      </c>
    </row>
    <row r="481" spans="1:9" x14ac:dyDescent="0.2">
      <c r="A481" s="2">
        <v>8</v>
      </c>
      <c r="B481" s="1" t="s">
        <v>172</v>
      </c>
      <c r="C481" s="4">
        <v>32</v>
      </c>
      <c r="D481" s="8">
        <v>2.56</v>
      </c>
      <c r="E481" s="4">
        <v>26</v>
      </c>
      <c r="F481" s="8">
        <v>3.27</v>
      </c>
      <c r="G481" s="4">
        <v>6</v>
      </c>
      <c r="H481" s="8">
        <v>1.35</v>
      </c>
      <c r="I481" s="4">
        <v>0</v>
      </c>
    </row>
    <row r="482" spans="1:9" x14ac:dyDescent="0.2">
      <c r="A482" s="2">
        <v>9</v>
      </c>
      <c r="B482" s="1" t="s">
        <v>173</v>
      </c>
      <c r="C482" s="4">
        <v>31</v>
      </c>
      <c r="D482" s="8">
        <v>2.48</v>
      </c>
      <c r="E482" s="4">
        <v>25</v>
      </c>
      <c r="F482" s="8">
        <v>3.14</v>
      </c>
      <c r="G482" s="4">
        <v>6</v>
      </c>
      <c r="H482" s="8">
        <v>1.35</v>
      </c>
      <c r="I482" s="4">
        <v>0</v>
      </c>
    </row>
    <row r="483" spans="1:9" x14ac:dyDescent="0.2">
      <c r="A483" s="2">
        <v>10</v>
      </c>
      <c r="B483" s="1" t="s">
        <v>160</v>
      </c>
      <c r="C483" s="4">
        <v>30</v>
      </c>
      <c r="D483" s="8">
        <v>2.4</v>
      </c>
      <c r="E483" s="4">
        <v>14</v>
      </c>
      <c r="F483" s="8">
        <v>1.76</v>
      </c>
      <c r="G483" s="4">
        <v>16</v>
      </c>
      <c r="H483" s="8">
        <v>3.6</v>
      </c>
      <c r="I483" s="4">
        <v>0</v>
      </c>
    </row>
    <row r="484" spans="1:9" x14ac:dyDescent="0.2">
      <c r="A484" s="2">
        <v>11</v>
      </c>
      <c r="B484" s="1" t="s">
        <v>159</v>
      </c>
      <c r="C484" s="4">
        <v>27</v>
      </c>
      <c r="D484" s="8">
        <v>2.16</v>
      </c>
      <c r="E484" s="4">
        <v>18</v>
      </c>
      <c r="F484" s="8">
        <v>2.2599999999999998</v>
      </c>
      <c r="G484" s="4">
        <v>9</v>
      </c>
      <c r="H484" s="8">
        <v>2.0299999999999998</v>
      </c>
      <c r="I484" s="4">
        <v>0</v>
      </c>
    </row>
    <row r="485" spans="1:9" x14ac:dyDescent="0.2">
      <c r="A485" s="2">
        <v>12</v>
      </c>
      <c r="B485" s="1" t="s">
        <v>171</v>
      </c>
      <c r="C485" s="4">
        <v>24</v>
      </c>
      <c r="D485" s="8">
        <v>1.92</v>
      </c>
      <c r="E485" s="4">
        <v>20</v>
      </c>
      <c r="F485" s="8">
        <v>2.5099999999999998</v>
      </c>
      <c r="G485" s="4">
        <v>4</v>
      </c>
      <c r="H485" s="8">
        <v>0.9</v>
      </c>
      <c r="I485" s="4">
        <v>0</v>
      </c>
    </row>
    <row r="486" spans="1:9" x14ac:dyDescent="0.2">
      <c r="A486" s="2">
        <v>13</v>
      </c>
      <c r="B486" s="1" t="s">
        <v>166</v>
      </c>
      <c r="C486" s="4">
        <v>23</v>
      </c>
      <c r="D486" s="8">
        <v>1.84</v>
      </c>
      <c r="E486" s="4">
        <v>20</v>
      </c>
      <c r="F486" s="8">
        <v>2.5099999999999998</v>
      </c>
      <c r="G486" s="4">
        <v>3</v>
      </c>
      <c r="H486" s="8">
        <v>0.68</v>
      </c>
      <c r="I486" s="4">
        <v>0</v>
      </c>
    </row>
    <row r="487" spans="1:9" x14ac:dyDescent="0.2">
      <c r="A487" s="2">
        <v>14</v>
      </c>
      <c r="B487" s="1" t="s">
        <v>164</v>
      </c>
      <c r="C487" s="4">
        <v>22</v>
      </c>
      <c r="D487" s="8">
        <v>1.76</v>
      </c>
      <c r="E487" s="4">
        <v>10</v>
      </c>
      <c r="F487" s="8">
        <v>1.26</v>
      </c>
      <c r="G487" s="4">
        <v>12</v>
      </c>
      <c r="H487" s="8">
        <v>2.7</v>
      </c>
      <c r="I487" s="4">
        <v>0</v>
      </c>
    </row>
    <row r="488" spans="1:9" x14ac:dyDescent="0.2">
      <c r="A488" s="2">
        <v>15</v>
      </c>
      <c r="B488" s="1" t="s">
        <v>165</v>
      </c>
      <c r="C488" s="4">
        <v>20</v>
      </c>
      <c r="D488" s="8">
        <v>1.6</v>
      </c>
      <c r="E488" s="4">
        <v>8</v>
      </c>
      <c r="F488" s="8">
        <v>1.01</v>
      </c>
      <c r="G488" s="4">
        <v>11</v>
      </c>
      <c r="H488" s="8">
        <v>2.48</v>
      </c>
      <c r="I488" s="4">
        <v>0</v>
      </c>
    </row>
    <row r="489" spans="1:9" x14ac:dyDescent="0.2">
      <c r="A489" s="2">
        <v>15</v>
      </c>
      <c r="B489" s="1" t="s">
        <v>179</v>
      </c>
      <c r="C489" s="4">
        <v>20</v>
      </c>
      <c r="D489" s="8">
        <v>1.6</v>
      </c>
      <c r="E489" s="4">
        <v>19</v>
      </c>
      <c r="F489" s="8">
        <v>2.39</v>
      </c>
      <c r="G489" s="4">
        <v>1</v>
      </c>
      <c r="H489" s="8">
        <v>0.23</v>
      </c>
      <c r="I489" s="4">
        <v>0</v>
      </c>
    </row>
    <row r="490" spans="1:9" x14ac:dyDescent="0.2">
      <c r="A490" s="2">
        <v>17</v>
      </c>
      <c r="B490" s="1" t="s">
        <v>157</v>
      </c>
      <c r="C490" s="4">
        <v>19</v>
      </c>
      <c r="D490" s="8">
        <v>1.52</v>
      </c>
      <c r="E490" s="4">
        <v>14</v>
      </c>
      <c r="F490" s="8">
        <v>1.76</v>
      </c>
      <c r="G490" s="4">
        <v>5</v>
      </c>
      <c r="H490" s="8">
        <v>1.1299999999999999</v>
      </c>
      <c r="I490" s="4">
        <v>0</v>
      </c>
    </row>
    <row r="491" spans="1:9" x14ac:dyDescent="0.2">
      <c r="A491" s="2">
        <v>17</v>
      </c>
      <c r="B491" s="1" t="s">
        <v>182</v>
      </c>
      <c r="C491" s="4">
        <v>19</v>
      </c>
      <c r="D491" s="8">
        <v>1.52</v>
      </c>
      <c r="E491" s="4">
        <v>14</v>
      </c>
      <c r="F491" s="8">
        <v>1.76</v>
      </c>
      <c r="G491" s="4">
        <v>5</v>
      </c>
      <c r="H491" s="8">
        <v>1.1299999999999999</v>
      </c>
      <c r="I491" s="4">
        <v>0</v>
      </c>
    </row>
    <row r="492" spans="1:9" x14ac:dyDescent="0.2">
      <c r="A492" s="2">
        <v>19</v>
      </c>
      <c r="B492" s="1" t="s">
        <v>155</v>
      </c>
      <c r="C492" s="4">
        <v>18</v>
      </c>
      <c r="D492" s="8">
        <v>1.44</v>
      </c>
      <c r="E492" s="4">
        <v>2</v>
      </c>
      <c r="F492" s="8">
        <v>0.25</v>
      </c>
      <c r="G492" s="4">
        <v>16</v>
      </c>
      <c r="H492" s="8">
        <v>3.6</v>
      </c>
      <c r="I492" s="4">
        <v>0</v>
      </c>
    </row>
    <row r="493" spans="1:9" x14ac:dyDescent="0.2">
      <c r="A493" s="2">
        <v>19</v>
      </c>
      <c r="B493" s="1" t="s">
        <v>178</v>
      </c>
      <c r="C493" s="4">
        <v>18</v>
      </c>
      <c r="D493" s="8">
        <v>1.44</v>
      </c>
      <c r="E493" s="4">
        <v>17</v>
      </c>
      <c r="F493" s="8">
        <v>2.14</v>
      </c>
      <c r="G493" s="4">
        <v>1</v>
      </c>
      <c r="H493" s="8">
        <v>0.23</v>
      </c>
      <c r="I493" s="4">
        <v>0</v>
      </c>
    </row>
    <row r="494" spans="1:9" x14ac:dyDescent="0.2">
      <c r="A494" s="1"/>
      <c r="C494" s="4"/>
      <c r="D494" s="8"/>
      <c r="E494" s="4"/>
      <c r="F494" s="8"/>
      <c r="G494" s="4"/>
      <c r="H494" s="8"/>
      <c r="I494" s="4"/>
    </row>
    <row r="495" spans="1:9" x14ac:dyDescent="0.2">
      <c r="A495" s="1" t="s">
        <v>22</v>
      </c>
      <c r="C495" s="4"/>
      <c r="D495" s="8"/>
      <c r="E495" s="4"/>
      <c r="F495" s="8"/>
      <c r="G495" s="4"/>
      <c r="H495" s="8"/>
      <c r="I495" s="4"/>
    </row>
    <row r="496" spans="1:9" x14ac:dyDescent="0.2">
      <c r="A496" s="2">
        <v>1</v>
      </c>
      <c r="B496" s="1" t="s">
        <v>170</v>
      </c>
      <c r="C496" s="4">
        <v>89</v>
      </c>
      <c r="D496" s="8">
        <v>5.38</v>
      </c>
      <c r="E496" s="4">
        <v>86</v>
      </c>
      <c r="F496" s="8">
        <v>8.1300000000000008</v>
      </c>
      <c r="G496" s="4">
        <v>3</v>
      </c>
      <c r="H496" s="8">
        <v>0.53</v>
      </c>
      <c r="I496" s="4">
        <v>0</v>
      </c>
    </row>
    <row r="497" spans="1:9" x14ac:dyDescent="0.2">
      <c r="A497" s="2">
        <v>2</v>
      </c>
      <c r="B497" s="1" t="s">
        <v>164</v>
      </c>
      <c r="C497" s="4">
        <v>57</v>
      </c>
      <c r="D497" s="8">
        <v>3.45</v>
      </c>
      <c r="E497" s="4">
        <v>39</v>
      </c>
      <c r="F497" s="8">
        <v>3.69</v>
      </c>
      <c r="G497" s="4">
        <v>18</v>
      </c>
      <c r="H497" s="8">
        <v>3.17</v>
      </c>
      <c r="I497" s="4">
        <v>0</v>
      </c>
    </row>
    <row r="498" spans="1:9" x14ac:dyDescent="0.2">
      <c r="A498" s="2">
        <v>3</v>
      </c>
      <c r="B498" s="1" t="s">
        <v>154</v>
      </c>
      <c r="C498" s="4">
        <v>55</v>
      </c>
      <c r="D498" s="8">
        <v>3.33</v>
      </c>
      <c r="E498" s="4">
        <v>13</v>
      </c>
      <c r="F498" s="8">
        <v>1.23</v>
      </c>
      <c r="G498" s="4">
        <v>42</v>
      </c>
      <c r="H498" s="8">
        <v>7.41</v>
      </c>
      <c r="I498" s="4">
        <v>0</v>
      </c>
    </row>
    <row r="499" spans="1:9" x14ac:dyDescent="0.2">
      <c r="A499" s="2">
        <v>4</v>
      </c>
      <c r="B499" s="1" t="s">
        <v>169</v>
      </c>
      <c r="C499" s="4">
        <v>52</v>
      </c>
      <c r="D499" s="8">
        <v>3.14</v>
      </c>
      <c r="E499" s="4">
        <v>52</v>
      </c>
      <c r="F499" s="8">
        <v>4.91</v>
      </c>
      <c r="G499" s="4">
        <v>0</v>
      </c>
      <c r="H499" s="8">
        <v>0</v>
      </c>
      <c r="I499" s="4">
        <v>0</v>
      </c>
    </row>
    <row r="500" spans="1:9" x14ac:dyDescent="0.2">
      <c r="A500" s="2">
        <v>5</v>
      </c>
      <c r="B500" s="1" t="s">
        <v>172</v>
      </c>
      <c r="C500" s="4">
        <v>47</v>
      </c>
      <c r="D500" s="8">
        <v>2.84</v>
      </c>
      <c r="E500" s="4">
        <v>42</v>
      </c>
      <c r="F500" s="8">
        <v>3.97</v>
      </c>
      <c r="G500" s="4">
        <v>5</v>
      </c>
      <c r="H500" s="8">
        <v>0.88</v>
      </c>
      <c r="I500" s="4">
        <v>0</v>
      </c>
    </row>
    <row r="501" spans="1:9" x14ac:dyDescent="0.2">
      <c r="A501" s="2">
        <v>6</v>
      </c>
      <c r="B501" s="1" t="s">
        <v>158</v>
      </c>
      <c r="C501" s="4">
        <v>42</v>
      </c>
      <c r="D501" s="8">
        <v>2.54</v>
      </c>
      <c r="E501" s="4">
        <v>32</v>
      </c>
      <c r="F501" s="8">
        <v>3.02</v>
      </c>
      <c r="G501" s="4">
        <v>10</v>
      </c>
      <c r="H501" s="8">
        <v>1.76</v>
      </c>
      <c r="I501" s="4">
        <v>0</v>
      </c>
    </row>
    <row r="502" spans="1:9" x14ac:dyDescent="0.2">
      <c r="A502" s="2">
        <v>7</v>
      </c>
      <c r="B502" s="1" t="s">
        <v>159</v>
      </c>
      <c r="C502" s="4">
        <v>40</v>
      </c>
      <c r="D502" s="8">
        <v>2.42</v>
      </c>
      <c r="E502" s="4">
        <v>28</v>
      </c>
      <c r="F502" s="8">
        <v>2.65</v>
      </c>
      <c r="G502" s="4">
        <v>12</v>
      </c>
      <c r="H502" s="8">
        <v>2.12</v>
      </c>
      <c r="I502" s="4">
        <v>0</v>
      </c>
    </row>
    <row r="503" spans="1:9" x14ac:dyDescent="0.2">
      <c r="A503" s="2">
        <v>8</v>
      </c>
      <c r="B503" s="1" t="s">
        <v>160</v>
      </c>
      <c r="C503" s="4">
        <v>38</v>
      </c>
      <c r="D503" s="8">
        <v>2.2999999999999998</v>
      </c>
      <c r="E503" s="4">
        <v>18</v>
      </c>
      <c r="F503" s="8">
        <v>1.7</v>
      </c>
      <c r="G503" s="4">
        <v>20</v>
      </c>
      <c r="H503" s="8">
        <v>3.53</v>
      </c>
      <c r="I503" s="4">
        <v>0</v>
      </c>
    </row>
    <row r="504" spans="1:9" x14ac:dyDescent="0.2">
      <c r="A504" s="2">
        <v>9</v>
      </c>
      <c r="B504" s="1" t="s">
        <v>210</v>
      </c>
      <c r="C504" s="4">
        <v>34</v>
      </c>
      <c r="D504" s="8">
        <v>2.06</v>
      </c>
      <c r="E504" s="4">
        <v>29</v>
      </c>
      <c r="F504" s="8">
        <v>2.74</v>
      </c>
      <c r="G504" s="4">
        <v>5</v>
      </c>
      <c r="H504" s="8">
        <v>0.88</v>
      </c>
      <c r="I504" s="4">
        <v>0</v>
      </c>
    </row>
    <row r="505" spans="1:9" x14ac:dyDescent="0.2">
      <c r="A505" s="2">
        <v>9</v>
      </c>
      <c r="B505" s="1" t="s">
        <v>166</v>
      </c>
      <c r="C505" s="4">
        <v>34</v>
      </c>
      <c r="D505" s="8">
        <v>2.06</v>
      </c>
      <c r="E505" s="4">
        <v>27</v>
      </c>
      <c r="F505" s="8">
        <v>2.5499999999999998</v>
      </c>
      <c r="G505" s="4">
        <v>7</v>
      </c>
      <c r="H505" s="8">
        <v>1.23</v>
      </c>
      <c r="I505" s="4">
        <v>0</v>
      </c>
    </row>
    <row r="506" spans="1:9" x14ac:dyDescent="0.2">
      <c r="A506" s="2">
        <v>11</v>
      </c>
      <c r="B506" s="1" t="s">
        <v>165</v>
      </c>
      <c r="C506" s="4">
        <v>31</v>
      </c>
      <c r="D506" s="8">
        <v>1.87</v>
      </c>
      <c r="E506" s="4">
        <v>11</v>
      </c>
      <c r="F506" s="8">
        <v>1.04</v>
      </c>
      <c r="G506" s="4">
        <v>20</v>
      </c>
      <c r="H506" s="8">
        <v>3.53</v>
      </c>
      <c r="I506" s="4">
        <v>0</v>
      </c>
    </row>
    <row r="507" spans="1:9" x14ac:dyDescent="0.2">
      <c r="A507" s="2">
        <v>11</v>
      </c>
      <c r="B507" s="1" t="s">
        <v>173</v>
      </c>
      <c r="C507" s="4">
        <v>31</v>
      </c>
      <c r="D507" s="8">
        <v>1.87</v>
      </c>
      <c r="E507" s="4">
        <v>29</v>
      </c>
      <c r="F507" s="8">
        <v>2.74</v>
      </c>
      <c r="G507" s="4">
        <v>2</v>
      </c>
      <c r="H507" s="8">
        <v>0.35</v>
      </c>
      <c r="I507" s="4">
        <v>0</v>
      </c>
    </row>
    <row r="508" spans="1:9" x14ac:dyDescent="0.2">
      <c r="A508" s="2">
        <v>13</v>
      </c>
      <c r="B508" s="1" t="s">
        <v>177</v>
      </c>
      <c r="C508" s="4">
        <v>30</v>
      </c>
      <c r="D508" s="8">
        <v>1.81</v>
      </c>
      <c r="E508" s="4">
        <v>27</v>
      </c>
      <c r="F508" s="8">
        <v>2.5499999999999998</v>
      </c>
      <c r="G508" s="4">
        <v>3</v>
      </c>
      <c r="H508" s="8">
        <v>0.53</v>
      </c>
      <c r="I508" s="4">
        <v>0</v>
      </c>
    </row>
    <row r="509" spans="1:9" x14ac:dyDescent="0.2">
      <c r="A509" s="2">
        <v>14</v>
      </c>
      <c r="B509" s="1" t="s">
        <v>209</v>
      </c>
      <c r="C509" s="4">
        <v>29</v>
      </c>
      <c r="D509" s="8">
        <v>1.75</v>
      </c>
      <c r="E509" s="4">
        <v>20</v>
      </c>
      <c r="F509" s="8">
        <v>1.89</v>
      </c>
      <c r="G509" s="4">
        <v>9</v>
      </c>
      <c r="H509" s="8">
        <v>1.59</v>
      </c>
      <c r="I509" s="4">
        <v>0</v>
      </c>
    </row>
    <row r="510" spans="1:9" x14ac:dyDescent="0.2">
      <c r="A510" s="2">
        <v>15</v>
      </c>
      <c r="B510" s="1" t="s">
        <v>161</v>
      </c>
      <c r="C510" s="4">
        <v>28</v>
      </c>
      <c r="D510" s="8">
        <v>1.69</v>
      </c>
      <c r="E510" s="4">
        <v>26</v>
      </c>
      <c r="F510" s="8">
        <v>2.46</v>
      </c>
      <c r="G510" s="4">
        <v>2</v>
      </c>
      <c r="H510" s="8">
        <v>0.35</v>
      </c>
      <c r="I510" s="4">
        <v>0</v>
      </c>
    </row>
    <row r="511" spans="1:9" x14ac:dyDescent="0.2">
      <c r="A511" s="2">
        <v>16</v>
      </c>
      <c r="B511" s="1" t="s">
        <v>186</v>
      </c>
      <c r="C511" s="4">
        <v>27</v>
      </c>
      <c r="D511" s="8">
        <v>1.63</v>
      </c>
      <c r="E511" s="4">
        <v>22</v>
      </c>
      <c r="F511" s="8">
        <v>2.08</v>
      </c>
      <c r="G511" s="4">
        <v>5</v>
      </c>
      <c r="H511" s="8">
        <v>0.88</v>
      </c>
      <c r="I511" s="4">
        <v>0</v>
      </c>
    </row>
    <row r="512" spans="1:9" x14ac:dyDescent="0.2">
      <c r="A512" s="2">
        <v>16</v>
      </c>
      <c r="B512" s="1" t="s">
        <v>167</v>
      </c>
      <c r="C512" s="4">
        <v>27</v>
      </c>
      <c r="D512" s="8">
        <v>1.63</v>
      </c>
      <c r="E512" s="4">
        <v>26</v>
      </c>
      <c r="F512" s="8">
        <v>2.46</v>
      </c>
      <c r="G512" s="4">
        <v>1</v>
      </c>
      <c r="H512" s="8">
        <v>0.18</v>
      </c>
      <c r="I512" s="4">
        <v>0</v>
      </c>
    </row>
    <row r="513" spans="1:9" x14ac:dyDescent="0.2">
      <c r="A513" s="2">
        <v>16</v>
      </c>
      <c r="B513" s="1" t="s">
        <v>168</v>
      </c>
      <c r="C513" s="4">
        <v>27</v>
      </c>
      <c r="D513" s="8">
        <v>1.63</v>
      </c>
      <c r="E513" s="4">
        <v>27</v>
      </c>
      <c r="F513" s="8">
        <v>2.5499999999999998</v>
      </c>
      <c r="G513" s="4">
        <v>0</v>
      </c>
      <c r="H513" s="8">
        <v>0</v>
      </c>
      <c r="I513" s="4">
        <v>0</v>
      </c>
    </row>
    <row r="514" spans="1:9" x14ac:dyDescent="0.2">
      <c r="A514" s="2">
        <v>19</v>
      </c>
      <c r="B514" s="1" t="s">
        <v>156</v>
      </c>
      <c r="C514" s="4">
        <v>25</v>
      </c>
      <c r="D514" s="8">
        <v>1.51</v>
      </c>
      <c r="E514" s="4">
        <v>11</v>
      </c>
      <c r="F514" s="8">
        <v>1.04</v>
      </c>
      <c r="G514" s="4">
        <v>14</v>
      </c>
      <c r="H514" s="8">
        <v>2.4700000000000002</v>
      </c>
      <c r="I514" s="4">
        <v>0</v>
      </c>
    </row>
    <row r="515" spans="1:9" x14ac:dyDescent="0.2">
      <c r="A515" s="2">
        <v>19</v>
      </c>
      <c r="B515" s="1" t="s">
        <v>208</v>
      </c>
      <c r="C515" s="4">
        <v>25</v>
      </c>
      <c r="D515" s="8">
        <v>1.51</v>
      </c>
      <c r="E515" s="4">
        <v>20</v>
      </c>
      <c r="F515" s="8">
        <v>1.89</v>
      </c>
      <c r="G515" s="4">
        <v>5</v>
      </c>
      <c r="H515" s="8">
        <v>0.88</v>
      </c>
      <c r="I515" s="4">
        <v>0</v>
      </c>
    </row>
    <row r="516" spans="1:9" x14ac:dyDescent="0.2">
      <c r="A516" s="1"/>
      <c r="C516" s="4"/>
      <c r="D516" s="8"/>
      <c r="E516" s="4"/>
      <c r="F516" s="8"/>
      <c r="G516" s="4"/>
      <c r="H516" s="8"/>
      <c r="I516" s="4"/>
    </row>
    <row r="517" spans="1:9" x14ac:dyDescent="0.2">
      <c r="A517" s="1" t="s">
        <v>23</v>
      </c>
      <c r="C517" s="4"/>
      <c r="D517" s="8"/>
      <c r="E517" s="4"/>
      <c r="F517" s="8"/>
      <c r="G517" s="4"/>
      <c r="H517" s="8"/>
      <c r="I517" s="4"/>
    </row>
    <row r="518" spans="1:9" x14ac:dyDescent="0.2">
      <c r="A518" s="2">
        <v>1</v>
      </c>
      <c r="B518" s="1" t="s">
        <v>170</v>
      </c>
      <c r="C518" s="4">
        <v>92</v>
      </c>
      <c r="D518" s="8">
        <v>5.12</v>
      </c>
      <c r="E518" s="4">
        <v>86</v>
      </c>
      <c r="F518" s="8">
        <v>7.1</v>
      </c>
      <c r="G518" s="4">
        <v>6</v>
      </c>
      <c r="H518" s="8">
        <v>1.0900000000000001</v>
      </c>
      <c r="I518" s="4">
        <v>0</v>
      </c>
    </row>
    <row r="519" spans="1:9" x14ac:dyDescent="0.2">
      <c r="A519" s="2">
        <v>2</v>
      </c>
      <c r="B519" s="1" t="s">
        <v>173</v>
      </c>
      <c r="C519" s="4">
        <v>70</v>
      </c>
      <c r="D519" s="8">
        <v>3.89</v>
      </c>
      <c r="E519" s="4">
        <v>63</v>
      </c>
      <c r="F519" s="8">
        <v>5.2</v>
      </c>
      <c r="G519" s="4">
        <v>7</v>
      </c>
      <c r="H519" s="8">
        <v>1.27</v>
      </c>
      <c r="I519" s="4">
        <v>0</v>
      </c>
    </row>
    <row r="520" spans="1:9" x14ac:dyDescent="0.2">
      <c r="A520" s="2">
        <v>3</v>
      </c>
      <c r="B520" s="1" t="s">
        <v>186</v>
      </c>
      <c r="C520" s="4">
        <v>60</v>
      </c>
      <c r="D520" s="8">
        <v>3.34</v>
      </c>
      <c r="E520" s="4">
        <v>49</v>
      </c>
      <c r="F520" s="8">
        <v>4.05</v>
      </c>
      <c r="G520" s="4">
        <v>11</v>
      </c>
      <c r="H520" s="8">
        <v>2</v>
      </c>
      <c r="I520" s="4">
        <v>0</v>
      </c>
    </row>
    <row r="521" spans="1:9" x14ac:dyDescent="0.2">
      <c r="A521" s="2">
        <v>4</v>
      </c>
      <c r="B521" s="1" t="s">
        <v>167</v>
      </c>
      <c r="C521" s="4">
        <v>55</v>
      </c>
      <c r="D521" s="8">
        <v>3.06</v>
      </c>
      <c r="E521" s="4">
        <v>52</v>
      </c>
      <c r="F521" s="8">
        <v>4.29</v>
      </c>
      <c r="G521" s="4">
        <v>3</v>
      </c>
      <c r="H521" s="8">
        <v>0.55000000000000004</v>
      </c>
      <c r="I521" s="4">
        <v>0</v>
      </c>
    </row>
    <row r="522" spans="1:9" x14ac:dyDescent="0.2">
      <c r="A522" s="2">
        <v>5</v>
      </c>
      <c r="B522" s="1" t="s">
        <v>211</v>
      </c>
      <c r="C522" s="4">
        <v>53</v>
      </c>
      <c r="D522" s="8">
        <v>2.95</v>
      </c>
      <c r="E522" s="4">
        <v>32</v>
      </c>
      <c r="F522" s="8">
        <v>2.64</v>
      </c>
      <c r="G522" s="4">
        <v>10</v>
      </c>
      <c r="H522" s="8">
        <v>1.82</v>
      </c>
      <c r="I522" s="4">
        <v>11</v>
      </c>
    </row>
    <row r="523" spans="1:9" x14ac:dyDescent="0.2">
      <c r="A523" s="2">
        <v>6</v>
      </c>
      <c r="B523" s="1" t="s">
        <v>169</v>
      </c>
      <c r="C523" s="4">
        <v>52</v>
      </c>
      <c r="D523" s="8">
        <v>2.89</v>
      </c>
      <c r="E523" s="4">
        <v>52</v>
      </c>
      <c r="F523" s="8">
        <v>4.29</v>
      </c>
      <c r="G523" s="4">
        <v>0</v>
      </c>
      <c r="H523" s="8">
        <v>0</v>
      </c>
      <c r="I523" s="4">
        <v>0</v>
      </c>
    </row>
    <row r="524" spans="1:9" x14ac:dyDescent="0.2">
      <c r="A524" s="2">
        <v>7</v>
      </c>
      <c r="B524" s="1" t="s">
        <v>158</v>
      </c>
      <c r="C524" s="4">
        <v>51</v>
      </c>
      <c r="D524" s="8">
        <v>2.84</v>
      </c>
      <c r="E524" s="4">
        <v>39</v>
      </c>
      <c r="F524" s="8">
        <v>3.22</v>
      </c>
      <c r="G524" s="4">
        <v>12</v>
      </c>
      <c r="H524" s="8">
        <v>2.1800000000000002</v>
      </c>
      <c r="I524" s="4">
        <v>0</v>
      </c>
    </row>
    <row r="525" spans="1:9" x14ac:dyDescent="0.2">
      <c r="A525" s="2">
        <v>8</v>
      </c>
      <c r="B525" s="1" t="s">
        <v>154</v>
      </c>
      <c r="C525" s="4">
        <v>44</v>
      </c>
      <c r="D525" s="8">
        <v>2.4500000000000002</v>
      </c>
      <c r="E525" s="4">
        <v>14</v>
      </c>
      <c r="F525" s="8">
        <v>1.1599999999999999</v>
      </c>
      <c r="G525" s="4">
        <v>30</v>
      </c>
      <c r="H525" s="8">
        <v>5.45</v>
      </c>
      <c r="I525" s="4">
        <v>0</v>
      </c>
    </row>
    <row r="526" spans="1:9" x14ac:dyDescent="0.2">
      <c r="A526" s="2">
        <v>9</v>
      </c>
      <c r="B526" s="1" t="s">
        <v>159</v>
      </c>
      <c r="C526" s="4">
        <v>37</v>
      </c>
      <c r="D526" s="8">
        <v>2.06</v>
      </c>
      <c r="E526" s="4">
        <v>26</v>
      </c>
      <c r="F526" s="8">
        <v>2.15</v>
      </c>
      <c r="G526" s="4">
        <v>11</v>
      </c>
      <c r="H526" s="8">
        <v>2</v>
      </c>
      <c r="I526" s="4">
        <v>0</v>
      </c>
    </row>
    <row r="527" spans="1:9" x14ac:dyDescent="0.2">
      <c r="A527" s="2">
        <v>9</v>
      </c>
      <c r="B527" s="1" t="s">
        <v>168</v>
      </c>
      <c r="C527" s="4">
        <v>37</v>
      </c>
      <c r="D527" s="8">
        <v>2.06</v>
      </c>
      <c r="E527" s="4">
        <v>36</v>
      </c>
      <c r="F527" s="8">
        <v>2.97</v>
      </c>
      <c r="G527" s="4">
        <v>1</v>
      </c>
      <c r="H527" s="8">
        <v>0.18</v>
      </c>
      <c r="I527" s="4">
        <v>0</v>
      </c>
    </row>
    <row r="528" spans="1:9" x14ac:dyDescent="0.2">
      <c r="A528" s="2">
        <v>11</v>
      </c>
      <c r="B528" s="1" t="s">
        <v>155</v>
      </c>
      <c r="C528" s="4">
        <v>35</v>
      </c>
      <c r="D528" s="8">
        <v>1.95</v>
      </c>
      <c r="E528" s="4">
        <v>19</v>
      </c>
      <c r="F528" s="8">
        <v>1.57</v>
      </c>
      <c r="G528" s="4">
        <v>16</v>
      </c>
      <c r="H528" s="8">
        <v>2.91</v>
      </c>
      <c r="I528" s="4">
        <v>0</v>
      </c>
    </row>
    <row r="529" spans="1:9" x14ac:dyDescent="0.2">
      <c r="A529" s="2">
        <v>11</v>
      </c>
      <c r="B529" s="1" t="s">
        <v>156</v>
      </c>
      <c r="C529" s="4">
        <v>35</v>
      </c>
      <c r="D529" s="8">
        <v>1.95</v>
      </c>
      <c r="E529" s="4">
        <v>20</v>
      </c>
      <c r="F529" s="8">
        <v>1.65</v>
      </c>
      <c r="G529" s="4">
        <v>15</v>
      </c>
      <c r="H529" s="8">
        <v>2.73</v>
      </c>
      <c r="I529" s="4">
        <v>0</v>
      </c>
    </row>
    <row r="530" spans="1:9" x14ac:dyDescent="0.2">
      <c r="A530" s="2">
        <v>13</v>
      </c>
      <c r="B530" s="1" t="s">
        <v>172</v>
      </c>
      <c r="C530" s="4">
        <v>34</v>
      </c>
      <c r="D530" s="8">
        <v>1.89</v>
      </c>
      <c r="E530" s="4">
        <v>34</v>
      </c>
      <c r="F530" s="8">
        <v>2.81</v>
      </c>
      <c r="G530" s="4">
        <v>0</v>
      </c>
      <c r="H530" s="8">
        <v>0</v>
      </c>
      <c r="I530" s="4">
        <v>0</v>
      </c>
    </row>
    <row r="531" spans="1:9" x14ac:dyDescent="0.2">
      <c r="A531" s="2">
        <v>14</v>
      </c>
      <c r="B531" s="1" t="s">
        <v>181</v>
      </c>
      <c r="C531" s="4">
        <v>32</v>
      </c>
      <c r="D531" s="8">
        <v>1.78</v>
      </c>
      <c r="E531" s="4">
        <v>26</v>
      </c>
      <c r="F531" s="8">
        <v>2.15</v>
      </c>
      <c r="G531" s="4">
        <v>6</v>
      </c>
      <c r="H531" s="8">
        <v>1.0900000000000001</v>
      </c>
      <c r="I531" s="4">
        <v>0</v>
      </c>
    </row>
    <row r="532" spans="1:9" x14ac:dyDescent="0.2">
      <c r="A532" s="2">
        <v>15</v>
      </c>
      <c r="B532" s="1" t="s">
        <v>166</v>
      </c>
      <c r="C532" s="4">
        <v>31</v>
      </c>
      <c r="D532" s="8">
        <v>1.72</v>
      </c>
      <c r="E532" s="4">
        <v>30</v>
      </c>
      <c r="F532" s="8">
        <v>2.48</v>
      </c>
      <c r="G532" s="4">
        <v>1</v>
      </c>
      <c r="H532" s="8">
        <v>0.18</v>
      </c>
      <c r="I532" s="4">
        <v>0</v>
      </c>
    </row>
    <row r="533" spans="1:9" x14ac:dyDescent="0.2">
      <c r="A533" s="2">
        <v>16</v>
      </c>
      <c r="B533" s="1" t="s">
        <v>164</v>
      </c>
      <c r="C533" s="4">
        <v>30</v>
      </c>
      <c r="D533" s="8">
        <v>1.67</v>
      </c>
      <c r="E533" s="4">
        <v>14</v>
      </c>
      <c r="F533" s="8">
        <v>1.1599999999999999</v>
      </c>
      <c r="G533" s="4">
        <v>16</v>
      </c>
      <c r="H533" s="8">
        <v>2.91</v>
      </c>
      <c r="I533" s="4">
        <v>0</v>
      </c>
    </row>
    <row r="534" spans="1:9" x14ac:dyDescent="0.2">
      <c r="A534" s="2">
        <v>17</v>
      </c>
      <c r="B534" s="1" t="s">
        <v>160</v>
      </c>
      <c r="C534" s="4">
        <v>28</v>
      </c>
      <c r="D534" s="8">
        <v>1.56</v>
      </c>
      <c r="E534" s="4">
        <v>11</v>
      </c>
      <c r="F534" s="8">
        <v>0.91</v>
      </c>
      <c r="G534" s="4">
        <v>17</v>
      </c>
      <c r="H534" s="8">
        <v>3.09</v>
      </c>
      <c r="I534" s="4">
        <v>0</v>
      </c>
    </row>
    <row r="535" spans="1:9" x14ac:dyDescent="0.2">
      <c r="A535" s="2">
        <v>17</v>
      </c>
      <c r="B535" s="1" t="s">
        <v>161</v>
      </c>
      <c r="C535" s="4">
        <v>28</v>
      </c>
      <c r="D535" s="8">
        <v>1.56</v>
      </c>
      <c r="E535" s="4">
        <v>22</v>
      </c>
      <c r="F535" s="8">
        <v>1.82</v>
      </c>
      <c r="G535" s="4">
        <v>6</v>
      </c>
      <c r="H535" s="8">
        <v>1.0900000000000001</v>
      </c>
      <c r="I535" s="4">
        <v>0</v>
      </c>
    </row>
    <row r="536" spans="1:9" x14ac:dyDescent="0.2">
      <c r="A536" s="2">
        <v>19</v>
      </c>
      <c r="B536" s="1" t="s">
        <v>177</v>
      </c>
      <c r="C536" s="4">
        <v>22</v>
      </c>
      <c r="D536" s="8">
        <v>1.22</v>
      </c>
      <c r="E536" s="4">
        <v>13</v>
      </c>
      <c r="F536" s="8">
        <v>1.07</v>
      </c>
      <c r="G536" s="4">
        <v>9</v>
      </c>
      <c r="H536" s="8">
        <v>1.64</v>
      </c>
      <c r="I536" s="4">
        <v>0</v>
      </c>
    </row>
    <row r="537" spans="1:9" x14ac:dyDescent="0.2">
      <c r="A537" s="2">
        <v>19</v>
      </c>
      <c r="B537" s="1" t="s">
        <v>212</v>
      </c>
      <c r="C537" s="4">
        <v>22</v>
      </c>
      <c r="D537" s="8">
        <v>1.22</v>
      </c>
      <c r="E537" s="4">
        <v>19</v>
      </c>
      <c r="F537" s="8">
        <v>1.57</v>
      </c>
      <c r="G537" s="4">
        <v>3</v>
      </c>
      <c r="H537" s="8">
        <v>0.55000000000000004</v>
      </c>
      <c r="I537" s="4">
        <v>0</v>
      </c>
    </row>
    <row r="538" spans="1:9" x14ac:dyDescent="0.2">
      <c r="A538" s="2">
        <v>19</v>
      </c>
      <c r="B538" s="1" t="s">
        <v>165</v>
      </c>
      <c r="C538" s="4">
        <v>22</v>
      </c>
      <c r="D538" s="8">
        <v>1.22</v>
      </c>
      <c r="E538" s="4">
        <v>8</v>
      </c>
      <c r="F538" s="8">
        <v>0.66</v>
      </c>
      <c r="G538" s="4">
        <v>14</v>
      </c>
      <c r="H538" s="8">
        <v>2.5499999999999998</v>
      </c>
      <c r="I538" s="4">
        <v>0</v>
      </c>
    </row>
    <row r="539" spans="1:9" x14ac:dyDescent="0.2">
      <c r="A539" s="1"/>
      <c r="C539" s="4"/>
      <c r="D539" s="8"/>
      <c r="E539" s="4"/>
      <c r="F539" s="8"/>
      <c r="G539" s="4"/>
      <c r="H539" s="8"/>
      <c r="I539" s="4"/>
    </row>
    <row r="540" spans="1:9" x14ac:dyDescent="0.2">
      <c r="A540" s="1" t="s">
        <v>24</v>
      </c>
      <c r="C540" s="4"/>
      <c r="D540" s="8"/>
      <c r="E540" s="4"/>
      <c r="F540" s="8"/>
      <c r="G540" s="4"/>
      <c r="H540" s="8"/>
      <c r="I540" s="4"/>
    </row>
    <row r="541" spans="1:9" x14ac:dyDescent="0.2">
      <c r="A541" s="2">
        <v>1</v>
      </c>
      <c r="B541" s="1" t="s">
        <v>170</v>
      </c>
      <c r="C541" s="4">
        <v>67</v>
      </c>
      <c r="D541" s="8">
        <v>6.32</v>
      </c>
      <c r="E541" s="4">
        <v>59</v>
      </c>
      <c r="F541" s="8">
        <v>9.1999999999999993</v>
      </c>
      <c r="G541" s="4">
        <v>8</v>
      </c>
      <c r="H541" s="8">
        <v>1.95</v>
      </c>
      <c r="I541" s="4">
        <v>0</v>
      </c>
    </row>
    <row r="542" spans="1:9" x14ac:dyDescent="0.2">
      <c r="A542" s="2">
        <v>2</v>
      </c>
      <c r="B542" s="1" t="s">
        <v>169</v>
      </c>
      <c r="C542" s="4">
        <v>38</v>
      </c>
      <c r="D542" s="8">
        <v>3.58</v>
      </c>
      <c r="E542" s="4">
        <v>36</v>
      </c>
      <c r="F542" s="8">
        <v>5.62</v>
      </c>
      <c r="G542" s="4">
        <v>2</v>
      </c>
      <c r="H542" s="8">
        <v>0.49</v>
      </c>
      <c r="I542" s="4">
        <v>0</v>
      </c>
    </row>
    <row r="543" spans="1:9" x14ac:dyDescent="0.2">
      <c r="A543" s="2">
        <v>3</v>
      </c>
      <c r="B543" s="1" t="s">
        <v>166</v>
      </c>
      <c r="C543" s="4">
        <v>31</v>
      </c>
      <c r="D543" s="8">
        <v>2.92</v>
      </c>
      <c r="E543" s="4">
        <v>27</v>
      </c>
      <c r="F543" s="8">
        <v>4.21</v>
      </c>
      <c r="G543" s="4">
        <v>4</v>
      </c>
      <c r="H543" s="8">
        <v>0.97</v>
      </c>
      <c r="I543" s="4">
        <v>0</v>
      </c>
    </row>
    <row r="544" spans="1:9" x14ac:dyDescent="0.2">
      <c r="A544" s="2">
        <v>4</v>
      </c>
      <c r="B544" s="1" t="s">
        <v>172</v>
      </c>
      <c r="C544" s="4">
        <v>30</v>
      </c>
      <c r="D544" s="8">
        <v>2.83</v>
      </c>
      <c r="E544" s="4">
        <v>27</v>
      </c>
      <c r="F544" s="8">
        <v>4.21</v>
      </c>
      <c r="G544" s="4">
        <v>3</v>
      </c>
      <c r="H544" s="8">
        <v>0.73</v>
      </c>
      <c r="I544" s="4">
        <v>0</v>
      </c>
    </row>
    <row r="545" spans="1:9" x14ac:dyDescent="0.2">
      <c r="A545" s="2">
        <v>5</v>
      </c>
      <c r="B545" s="1" t="s">
        <v>159</v>
      </c>
      <c r="C545" s="4">
        <v>29</v>
      </c>
      <c r="D545" s="8">
        <v>2.74</v>
      </c>
      <c r="E545" s="4">
        <v>25</v>
      </c>
      <c r="F545" s="8">
        <v>3.9</v>
      </c>
      <c r="G545" s="4">
        <v>4</v>
      </c>
      <c r="H545" s="8">
        <v>0.97</v>
      </c>
      <c r="I545" s="4">
        <v>0</v>
      </c>
    </row>
    <row r="546" spans="1:9" x14ac:dyDescent="0.2">
      <c r="A546" s="2">
        <v>6</v>
      </c>
      <c r="B546" s="1" t="s">
        <v>158</v>
      </c>
      <c r="C546" s="4">
        <v>26</v>
      </c>
      <c r="D546" s="8">
        <v>2.4500000000000002</v>
      </c>
      <c r="E546" s="4">
        <v>17</v>
      </c>
      <c r="F546" s="8">
        <v>2.65</v>
      </c>
      <c r="G546" s="4">
        <v>9</v>
      </c>
      <c r="H546" s="8">
        <v>2.19</v>
      </c>
      <c r="I546" s="4">
        <v>0</v>
      </c>
    </row>
    <row r="547" spans="1:9" x14ac:dyDescent="0.2">
      <c r="A547" s="2">
        <v>6</v>
      </c>
      <c r="B547" s="1" t="s">
        <v>171</v>
      </c>
      <c r="C547" s="4">
        <v>26</v>
      </c>
      <c r="D547" s="8">
        <v>2.4500000000000002</v>
      </c>
      <c r="E547" s="4">
        <v>24</v>
      </c>
      <c r="F547" s="8">
        <v>3.74</v>
      </c>
      <c r="G547" s="4">
        <v>2</v>
      </c>
      <c r="H547" s="8">
        <v>0.49</v>
      </c>
      <c r="I547" s="4">
        <v>0</v>
      </c>
    </row>
    <row r="548" spans="1:9" x14ac:dyDescent="0.2">
      <c r="A548" s="2">
        <v>8</v>
      </c>
      <c r="B548" s="1" t="s">
        <v>160</v>
      </c>
      <c r="C548" s="4">
        <v>23</v>
      </c>
      <c r="D548" s="8">
        <v>2.17</v>
      </c>
      <c r="E548" s="4">
        <v>11</v>
      </c>
      <c r="F548" s="8">
        <v>1.72</v>
      </c>
      <c r="G548" s="4">
        <v>12</v>
      </c>
      <c r="H548" s="8">
        <v>2.92</v>
      </c>
      <c r="I548" s="4">
        <v>0</v>
      </c>
    </row>
    <row r="549" spans="1:9" x14ac:dyDescent="0.2">
      <c r="A549" s="2">
        <v>8</v>
      </c>
      <c r="B549" s="1" t="s">
        <v>164</v>
      </c>
      <c r="C549" s="4">
        <v>23</v>
      </c>
      <c r="D549" s="8">
        <v>2.17</v>
      </c>
      <c r="E549" s="4">
        <v>4</v>
      </c>
      <c r="F549" s="8">
        <v>0.62</v>
      </c>
      <c r="G549" s="4">
        <v>18</v>
      </c>
      <c r="H549" s="8">
        <v>4.38</v>
      </c>
      <c r="I549" s="4">
        <v>0</v>
      </c>
    </row>
    <row r="550" spans="1:9" x14ac:dyDescent="0.2">
      <c r="A550" s="2">
        <v>10</v>
      </c>
      <c r="B550" s="1" t="s">
        <v>165</v>
      </c>
      <c r="C550" s="4">
        <v>22</v>
      </c>
      <c r="D550" s="8">
        <v>2.08</v>
      </c>
      <c r="E550" s="4">
        <v>8</v>
      </c>
      <c r="F550" s="8">
        <v>1.25</v>
      </c>
      <c r="G550" s="4">
        <v>14</v>
      </c>
      <c r="H550" s="8">
        <v>3.41</v>
      </c>
      <c r="I550" s="4">
        <v>0</v>
      </c>
    </row>
    <row r="551" spans="1:9" x14ac:dyDescent="0.2">
      <c r="A551" s="2">
        <v>10</v>
      </c>
      <c r="B551" s="1" t="s">
        <v>173</v>
      </c>
      <c r="C551" s="4">
        <v>22</v>
      </c>
      <c r="D551" s="8">
        <v>2.08</v>
      </c>
      <c r="E551" s="4">
        <v>21</v>
      </c>
      <c r="F551" s="8">
        <v>3.28</v>
      </c>
      <c r="G551" s="4">
        <v>1</v>
      </c>
      <c r="H551" s="8">
        <v>0.24</v>
      </c>
      <c r="I551" s="4">
        <v>0</v>
      </c>
    </row>
    <row r="552" spans="1:9" x14ac:dyDescent="0.2">
      <c r="A552" s="2">
        <v>12</v>
      </c>
      <c r="B552" s="1" t="s">
        <v>167</v>
      </c>
      <c r="C552" s="4">
        <v>21</v>
      </c>
      <c r="D552" s="8">
        <v>1.98</v>
      </c>
      <c r="E552" s="4">
        <v>20</v>
      </c>
      <c r="F552" s="8">
        <v>3.12</v>
      </c>
      <c r="G552" s="4">
        <v>1</v>
      </c>
      <c r="H552" s="8">
        <v>0.24</v>
      </c>
      <c r="I552" s="4">
        <v>0</v>
      </c>
    </row>
    <row r="553" spans="1:9" x14ac:dyDescent="0.2">
      <c r="A553" s="2">
        <v>13</v>
      </c>
      <c r="B553" s="1" t="s">
        <v>168</v>
      </c>
      <c r="C553" s="4">
        <v>20</v>
      </c>
      <c r="D553" s="8">
        <v>1.89</v>
      </c>
      <c r="E553" s="4">
        <v>20</v>
      </c>
      <c r="F553" s="8">
        <v>3.12</v>
      </c>
      <c r="G553" s="4">
        <v>0</v>
      </c>
      <c r="H553" s="8">
        <v>0</v>
      </c>
      <c r="I553" s="4">
        <v>0</v>
      </c>
    </row>
    <row r="554" spans="1:9" x14ac:dyDescent="0.2">
      <c r="A554" s="2">
        <v>14</v>
      </c>
      <c r="B554" s="1" t="s">
        <v>154</v>
      </c>
      <c r="C554" s="4">
        <v>17</v>
      </c>
      <c r="D554" s="8">
        <v>1.6</v>
      </c>
      <c r="E554" s="4">
        <v>1</v>
      </c>
      <c r="F554" s="8">
        <v>0.16</v>
      </c>
      <c r="G554" s="4">
        <v>16</v>
      </c>
      <c r="H554" s="8">
        <v>3.89</v>
      </c>
      <c r="I554" s="4">
        <v>0</v>
      </c>
    </row>
    <row r="555" spans="1:9" x14ac:dyDescent="0.2">
      <c r="A555" s="2">
        <v>15</v>
      </c>
      <c r="B555" s="1" t="s">
        <v>156</v>
      </c>
      <c r="C555" s="4">
        <v>16</v>
      </c>
      <c r="D555" s="8">
        <v>1.51</v>
      </c>
      <c r="E555" s="4">
        <v>7</v>
      </c>
      <c r="F555" s="8">
        <v>1.0900000000000001</v>
      </c>
      <c r="G555" s="4">
        <v>9</v>
      </c>
      <c r="H555" s="8">
        <v>2.19</v>
      </c>
      <c r="I555" s="4">
        <v>0</v>
      </c>
    </row>
    <row r="556" spans="1:9" x14ac:dyDescent="0.2">
      <c r="A556" s="2">
        <v>15</v>
      </c>
      <c r="B556" s="1" t="s">
        <v>177</v>
      </c>
      <c r="C556" s="4">
        <v>16</v>
      </c>
      <c r="D556" s="8">
        <v>1.51</v>
      </c>
      <c r="E556" s="4">
        <v>11</v>
      </c>
      <c r="F556" s="8">
        <v>1.72</v>
      </c>
      <c r="G556" s="4">
        <v>5</v>
      </c>
      <c r="H556" s="8">
        <v>1.22</v>
      </c>
      <c r="I556" s="4">
        <v>0</v>
      </c>
    </row>
    <row r="557" spans="1:9" x14ac:dyDescent="0.2">
      <c r="A557" s="2">
        <v>15</v>
      </c>
      <c r="B557" s="1" t="s">
        <v>208</v>
      </c>
      <c r="C557" s="4">
        <v>16</v>
      </c>
      <c r="D557" s="8">
        <v>1.51</v>
      </c>
      <c r="E557" s="4">
        <v>10</v>
      </c>
      <c r="F557" s="8">
        <v>1.56</v>
      </c>
      <c r="G557" s="4">
        <v>6</v>
      </c>
      <c r="H557" s="8">
        <v>1.46</v>
      </c>
      <c r="I557" s="4">
        <v>0</v>
      </c>
    </row>
    <row r="558" spans="1:9" x14ac:dyDescent="0.2">
      <c r="A558" s="2">
        <v>15</v>
      </c>
      <c r="B558" s="1" t="s">
        <v>162</v>
      </c>
      <c r="C558" s="4">
        <v>16</v>
      </c>
      <c r="D558" s="8">
        <v>1.51</v>
      </c>
      <c r="E558" s="4">
        <v>6</v>
      </c>
      <c r="F558" s="8">
        <v>0.94</v>
      </c>
      <c r="G558" s="4">
        <v>10</v>
      </c>
      <c r="H558" s="8">
        <v>2.4300000000000002</v>
      </c>
      <c r="I558" s="4">
        <v>0</v>
      </c>
    </row>
    <row r="559" spans="1:9" x14ac:dyDescent="0.2">
      <c r="A559" s="2">
        <v>19</v>
      </c>
      <c r="B559" s="1" t="s">
        <v>161</v>
      </c>
      <c r="C559" s="4">
        <v>15</v>
      </c>
      <c r="D559" s="8">
        <v>1.42</v>
      </c>
      <c r="E559" s="4">
        <v>12</v>
      </c>
      <c r="F559" s="8">
        <v>1.87</v>
      </c>
      <c r="G559" s="4">
        <v>2</v>
      </c>
      <c r="H559" s="8">
        <v>0.49</v>
      </c>
      <c r="I559" s="4">
        <v>1</v>
      </c>
    </row>
    <row r="560" spans="1:9" x14ac:dyDescent="0.2">
      <c r="A560" s="2">
        <v>20</v>
      </c>
      <c r="B560" s="1" t="s">
        <v>157</v>
      </c>
      <c r="C560" s="4">
        <v>14</v>
      </c>
      <c r="D560" s="8">
        <v>1.32</v>
      </c>
      <c r="E560" s="4">
        <v>9</v>
      </c>
      <c r="F560" s="8">
        <v>1.4</v>
      </c>
      <c r="G560" s="4">
        <v>5</v>
      </c>
      <c r="H560" s="8">
        <v>1.22</v>
      </c>
      <c r="I560" s="4">
        <v>0</v>
      </c>
    </row>
    <row r="561" spans="1:9" x14ac:dyDescent="0.2">
      <c r="A561" s="1"/>
      <c r="C561" s="4"/>
      <c r="D561" s="8"/>
      <c r="E561" s="4"/>
      <c r="F561" s="8"/>
      <c r="G561" s="4"/>
      <c r="H561" s="8"/>
      <c r="I561" s="4"/>
    </row>
    <row r="562" spans="1:9" x14ac:dyDescent="0.2">
      <c r="A562" s="1" t="s">
        <v>25</v>
      </c>
      <c r="C562" s="4"/>
      <c r="D562" s="8"/>
      <c r="E562" s="4"/>
      <c r="F562" s="8"/>
      <c r="G562" s="4"/>
      <c r="H562" s="8"/>
      <c r="I562" s="4"/>
    </row>
    <row r="563" spans="1:9" x14ac:dyDescent="0.2">
      <c r="A563" s="2">
        <v>1</v>
      </c>
      <c r="B563" s="1" t="s">
        <v>209</v>
      </c>
      <c r="C563" s="4">
        <v>174</v>
      </c>
      <c r="D563" s="8">
        <v>11.98</v>
      </c>
      <c r="E563" s="4">
        <v>134</v>
      </c>
      <c r="F563" s="8">
        <v>14.18</v>
      </c>
      <c r="G563" s="4">
        <v>40</v>
      </c>
      <c r="H563" s="8">
        <v>8</v>
      </c>
      <c r="I563" s="4">
        <v>0</v>
      </c>
    </row>
    <row r="564" spans="1:9" x14ac:dyDescent="0.2">
      <c r="A564" s="2">
        <v>2</v>
      </c>
      <c r="B564" s="1" t="s">
        <v>216</v>
      </c>
      <c r="C564" s="4">
        <v>113</v>
      </c>
      <c r="D564" s="8">
        <v>7.78</v>
      </c>
      <c r="E564" s="4">
        <v>105</v>
      </c>
      <c r="F564" s="8">
        <v>11.11</v>
      </c>
      <c r="G564" s="4">
        <v>8</v>
      </c>
      <c r="H564" s="8">
        <v>1.6</v>
      </c>
      <c r="I564" s="4">
        <v>0</v>
      </c>
    </row>
    <row r="565" spans="1:9" x14ac:dyDescent="0.2">
      <c r="A565" s="2">
        <v>3</v>
      </c>
      <c r="B565" s="1" t="s">
        <v>217</v>
      </c>
      <c r="C565" s="4">
        <v>46</v>
      </c>
      <c r="D565" s="8">
        <v>3.17</v>
      </c>
      <c r="E565" s="4">
        <v>12</v>
      </c>
      <c r="F565" s="8">
        <v>1.27</v>
      </c>
      <c r="G565" s="4">
        <v>34</v>
      </c>
      <c r="H565" s="8">
        <v>6.8</v>
      </c>
      <c r="I565" s="4">
        <v>0</v>
      </c>
    </row>
    <row r="566" spans="1:9" x14ac:dyDescent="0.2">
      <c r="A566" s="2">
        <v>4</v>
      </c>
      <c r="B566" s="1" t="s">
        <v>164</v>
      </c>
      <c r="C566" s="4">
        <v>44</v>
      </c>
      <c r="D566" s="8">
        <v>3.03</v>
      </c>
      <c r="E566" s="4">
        <v>23</v>
      </c>
      <c r="F566" s="8">
        <v>2.4300000000000002</v>
      </c>
      <c r="G566" s="4">
        <v>21</v>
      </c>
      <c r="H566" s="8">
        <v>4.2</v>
      </c>
      <c r="I566" s="4">
        <v>0</v>
      </c>
    </row>
    <row r="567" spans="1:9" x14ac:dyDescent="0.2">
      <c r="A567" s="2">
        <v>5</v>
      </c>
      <c r="B567" s="1" t="s">
        <v>170</v>
      </c>
      <c r="C567" s="4">
        <v>41</v>
      </c>
      <c r="D567" s="8">
        <v>2.82</v>
      </c>
      <c r="E567" s="4">
        <v>39</v>
      </c>
      <c r="F567" s="8">
        <v>4.13</v>
      </c>
      <c r="G567" s="4">
        <v>2</v>
      </c>
      <c r="H567" s="8">
        <v>0.4</v>
      </c>
      <c r="I567" s="4">
        <v>0</v>
      </c>
    </row>
    <row r="568" spans="1:9" x14ac:dyDescent="0.2">
      <c r="A568" s="2">
        <v>6</v>
      </c>
      <c r="B568" s="1" t="s">
        <v>214</v>
      </c>
      <c r="C568" s="4">
        <v>36</v>
      </c>
      <c r="D568" s="8">
        <v>2.48</v>
      </c>
      <c r="E568" s="4">
        <v>21</v>
      </c>
      <c r="F568" s="8">
        <v>2.2200000000000002</v>
      </c>
      <c r="G568" s="4">
        <v>15</v>
      </c>
      <c r="H568" s="8">
        <v>3</v>
      </c>
      <c r="I568" s="4">
        <v>0</v>
      </c>
    </row>
    <row r="569" spans="1:9" x14ac:dyDescent="0.2">
      <c r="A569" s="2">
        <v>7</v>
      </c>
      <c r="B569" s="1" t="s">
        <v>169</v>
      </c>
      <c r="C569" s="4">
        <v>35</v>
      </c>
      <c r="D569" s="8">
        <v>2.41</v>
      </c>
      <c r="E569" s="4">
        <v>34</v>
      </c>
      <c r="F569" s="8">
        <v>3.6</v>
      </c>
      <c r="G569" s="4">
        <v>1</v>
      </c>
      <c r="H569" s="8">
        <v>0.2</v>
      </c>
      <c r="I569" s="4">
        <v>0</v>
      </c>
    </row>
    <row r="570" spans="1:9" x14ac:dyDescent="0.2">
      <c r="A570" s="2">
        <v>8</v>
      </c>
      <c r="B570" s="1" t="s">
        <v>168</v>
      </c>
      <c r="C570" s="4">
        <v>33</v>
      </c>
      <c r="D570" s="8">
        <v>2.27</v>
      </c>
      <c r="E570" s="4">
        <v>33</v>
      </c>
      <c r="F570" s="8">
        <v>3.49</v>
      </c>
      <c r="G570" s="4">
        <v>0</v>
      </c>
      <c r="H570" s="8">
        <v>0</v>
      </c>
      <c r="I570" s="4">
        <v>0</v>
      </c>
    </row>
    <row r="571" spans="1:9" x14ac:dyDescent="0.2">
      <c r="A571" s="2">
        <v>9</v>
      </c>
      <c r="B571" s="1" t="s">
        <v>172</v>
      </c>
      <c r="C571" s="4">
        <v>29</v>
      </c>
      <c r="D571" s="8">
        <v>2</v>
      </c>
      <c r="E571" s="4">
        <v>24</v>
      </c>
      <c r="F571" s="8">
        <v>2.54</v>
      </c>
      <c r="G571" s="4">
        <v>5</v>
      </c>
      <c r="H571" s="8">
        <v>1</v>
      </c>
      <c r="I571" s="4">
        <v>0</v>
      </c>
    </row>
    <row r="572" spans="1:9" x14ac:dyDescent="0.2">
      <c r="A572" s="2">
        <v>10</v>
      </c>
      <c r="B572" s="1" t="s">
        <v>212</v>
      </c>
      <c r="C572" s="4">
        <v>26</v>
      </c>
      <c r="D572" s="8">
        <v>1.79</v>
      </c>
      <c r="E572" s="4">
        <v>13</v>
      </c>
      <c r="F572" s="8">
        <v>1.38</v>
      </c>
      <c r="G572" s="4">
        <v>13</v>
      </c>
      <c r="H572" s="8">
        <v>2.6</v>
      </c>
      <c r="I572" s="4">
        <v>0</v>
      </c>
    </row>
    <row r="573" spans="1:9" x14ac:dyDescent="0.2">
      <c r="A573" s="2">
        <v>11</v>
      </c>
      <c r="B573" s="1" t="s">
        <v>159</v>
      </c>
      <c r="C573" s="4">
        <v>25</v>
      </c>
      <c r="D573" s="8">
        <v>1.72</v>
      </c>
      <c r="E573" s="4">
        <v>20</v>
      </c>
      <c r="F573" s="8">
        <v>2.12</v>
      </c>
      <c r="G573" s="4">
        <v>5</v>
      </c>
      <c r="H573" s="8">
        <v>1</v>
      </c>
      <c r="I573" s="4">
        <v>0</v>
      </c>
    </row>
    <row r="574" spans="1:9" x14ac:dyDescent="0.2">
      <c r="A574" s="2">
        <v>11</v>
      </c>
      <c r="B574" s="1" t="s">
        <v>163</v>
      </c>
      <c r="C574" s="4">
        <v>25</v>
      </c>
      <c r="D574" s="8">
        <v>1.72</v>
      </c>
      <c r="E574" s="4">
        <v>3</v>
      </c>
      <c r="F574" s="8">
        <v>0.32</v>
      </c>
      <c r="G574" s="4">
        <v>22</v>
      </c>
      <c r="H574" s="8">
        <v>4.4000000000000004</v>
      </c>
      <c r="I574" s="4">
        <v>0</v>
      </c>
    </row>
    <row r="575" spans="1:9" x14ac:dyDescent="0.2">
      <c r="A575" s="2">
        <v>13</v>
      </c>
      <c r="B575" s="1" t="s">
        <v>194</v>
      </c>
      <c r="C575" s="4">
        <v>24</v>
      </c>
      <c r="D575" s="8">
        <v>1.65</v>
      </c>
      <c r="E575" s="4">
        <v>10</v>
      </c>
      <c r="F575" s="8">
        <v>1.06</v>
      </c>
      <c r="G575" s="4">
        <v>14</v>
      </c>
      <c r="H575" s="8">
        <v>2.8</v>
      </c>
      <c r="I575" s="4">
        <v>0</v>
      </c>
    </row>
    <row r="576" spans="1:9" x14ac:dyDescent="0.2">
      <c r="A576" s="2">
        <v>13</v>
      </c>
      <c r="B576" s="1" t="s">
        <v>167</v>
      </c>
      <c r="C576" s="4">
        <v>24</v>
      </c>
      <c r="D576" s="8">
        <v>1.65</v>
      </c>
      <c r="E576" s="4">
        <v>22</v>
      </c>
      <c r="F576" s="8">
        <v>2.33</v>
      </c>
      <c r="G576" s="4">
        <v>2</v>
      </c>
      <c r="H576" s="8">
        <v>0.4</v>
      </c>
      <c r="I576" s="4">
        <v>0</v>
      </c>
    </row>
    <row r="577" spans="1:9" x14ac:dyDescent="0.2">
      <c r="A577" s="2">
        <v>15</v>
      </c>
      <c r="B577" s="1" t="s">
        <v>166</v>
      </c>
      <c r="C577" s="4">
        <v>23</v>
      </c>
      <c r="D577" s="8">
        <v>1.58</v>
      </c>
      <c r="E577" s="4">
        <v>22</v>
      </c>
      <c r="F577" s="8">
        <v>2.33</v>
      </c>
      <c r="G577" s="4">
        <v>1</v>
      </c>
      <c r="H577" s="8">
        <v>0.2</v>
      </c>
      <c r="I577" s="4">
        <v>0</v>
      </c>
    </row>
    <row r="578" spans="1:9" x14ac:dyDescent="0.2">
      <c r="A578" s="2">
        <v>15</v>
      </c>
      <c r="B578" s="1" t="s">
        <v>173</v>
      </c>
      <c r="C578" s="4">
        <v>23</v>
      </c>
      <c r="D578" s="8">
        <v>1.58</v>
      </c>
      <c r="E578" s="4">
        <v>20</v>
      </c>
      <c r="F578" s="8">
        <v>2.12</v>
      </c>
      <c r="G578" s="4">
        <v>3</v>
      </c>
      <c r="H578" s="8">
        <v>0.6</v>
      </c>
      <c r="I578" s="4">
        <v>0</v>
      </c>
    </row>
    <row r="579" spans="1:9" x14ac:dyDescent="0.2">
      <c r="A579" s="2">
        <v>17</v>
      </c>
      <c r="B579" s="1" t="s">
        <v>154</v>
      </c>
      <c r="C579" s="4">
        <v>22</v>
      </c>
      <c r="D579" s="8">
        <v>1.51</v>
      </c>
      <c r="E579" s="4">
        <v>5</v>
      </c>
      <c r="F579" s="8">
        <v>0.53</v>
      </c>
      <c r="G579" s="4">
        <v>17</v>
      </c>
      <c r="H579" s="8">
        <v>3.4</v>
      </c>
      <c r="I579" s="4">
        <v>0</v>
      </c>
    </row>
    <row r="580" spans="1:9" x14ac:dyDescent="0.2">
      <c r="A580" s="2">
        <v>17</v>
      </c>
      <c r="B580" s="1" t="s">
        <v>213</v>
      </c>
      <c r="C580" s="4">
        <v>22</v>
      </c>
      <c r="D580" s="8">
        <v>1.51</v>
      </c>
      <c r="E580" s="4">
        <v>8</v>
      </c>
      <c r="F580" s="8">
        <v>0.85</v>
      </c>
      <c r="G580" s="4">
        <v>14</v>
      </c>
      <c r="H580" s="8">
        <v>2.8</v>
      </c>
      <c r="I580" s="4">
        <v>0</v>
      </c>
    </row>
    <row r="581" spans="1:9" x14ac:dyDescent="0.2">
      <c r="A581" s="2">
        <v>19</v>
      </c>
      <c r="B581" s="1" t="s">
        <v>215</v>
      </c>
      <c r="C581" s="4">
        <v>20</v>
      </c>
      <c r="D581" s="8">
        <v>1.38</v>
      </c>
      <c r="E581" s="4">
        <v>11</v>
      </c>
      <c r="F581" s="8">
        <v>1.1599999999999999</v>
      </c>
      <c r="G581" s="4">
        <v>9</v>
      </c>
      <c r="H581" s="8">
        <v>1.8</v>
      </c>
      <c r="I581" s="4">
        <v>0</v>
      </c>
    </row>
    <row r="582" spans="1:9" x14ac:dyDescent="0.2">
      <c r="A582" s="2">
        <v>19</v>
      </c>
      <c r="B582" s="1" t="s">
        <v>158</v>
      </c>
      <c r="C582" s="4">
        <v>20</v>
      </c>
      <c r="D582" s="8">
        <v>1.38</v>
      </c>
      <c r="E582" s="4">
        <v>15</v>
      </c>
      <c r="F582" s="8">
        <v>1.59</v>
      </c>
      <c r="G582" s="4">
        <v>5</v>
      </c>
      <c r="H582" s="8">
        <v>1</v>
      </c>
      <c r="I582" s="4">
        <v>0</v>
      </c>
    </row>
    <row r="583" spans="1:9" x14ac:dyDescent="0.2">
      <c r="A583" s="1"/>
      <c r="C583" s="4"/>
      <c r="D583" s="8"/>
      <c r="E583" s="4"/>
      <c r="F583" s="8"/>
      <c r="G583" s="4"/>
      <c r="H583" s="8"/>
      <c r="I583" s="4"/>
    </row>
    <row r="584" spans="1:9" x14ac:dyDescent="0.2">
      <c r="A584" s="1" t="s">
        <v>26</v>
      </c>
      <c r="C584" s="4"/>
      <c r="D584" s="8"/>
      <c r="E584" s="4"/>
      <c r="F584" s="8"/>
      <c r="G584" s="4"/>
      <c r="H584" s="8"/>
      <c r="I584" s="4"/>
    </row>
    <row r="585" spans="1:9" x14ac:dyDescent="0.2">
      <c r="A585" s="2">
        <v>1</v>
      </c>
      <c r="B585" s="1" t="s">
        <v>164</v>
      </c>
      <c r="C585" s="4">
        <v>94</v>
      </c>
      <c r="D585" s="8">
        <v>6.3</v>
      </c>
      <c r="E585" s="4">
        <v>74</v>
      </c>
      <c r="F585" s="8">
        <v>8.5500000000000007</v>
      </c>
      <c r="G585" s="4">
        <v>20</v>
      </c>
      <c r="H585" s="8">
        <v>3.28</v>
      </c>
      <c r="I585" s="4">
        <v>0</v>
      </c>
    </row>
    <row r="586" spans="1:9" x14ac:dyDescent="0.2">
      <c r="A586" s="2">
        <v>2</v>
      </c>
      <c r="B586" s="1" t="s">
        <v>170</v>
      </c>
      <c r="C586" s="4">
        <v>90</v>
      </c>
      <c r="D586" s="8">
        <v>6.03</v>
      </c>
      <c r="E586" s="4">
        <v>82</v>
      </c>
      <c r="F586" s="8">
        <v>9.4700000000000006</v>
      </c>
      <c r="G586" s="4">
        <v>8</v>
      </c>
      <c r="H586" s="8">
        <v>1.31</v>
      </c>
      <c r="I586" s="4">
        <v>0</v>
      </c>
    </row>
    <row r="587" spans="1:9" x14ac:dyDescent="0.2">
      <c r="A587" s="2">
        <v>3</v>
      </c>
      <c r="B587" s="1" t="s">
        <v>168</v>
      </c>
      <c r="C587" s="4">
        <v>58</v>
      </c>
      <c r="D587" s="8">
        <v>3.88</v>
      </c>
      <c r="E587" s="4">
        <v>57</v>
      </c>
      <c r="F587" s="8">
        <v>6.58</v>
      </c>
      <c r="G587" s="4">
        <v>1</v>
      </c>
      <c r="H587" s="8">
        <v>0.16</v>
      </c>
      <c r="I587" s="4">
        <v>0</v>
      </c>
    </row>
    <row r="588" spans="1:9" x14ac:dyDescent="0.2">
      <c r="A588" s="2">
        <v>4</v>
      </c>
      <c r="B588" s="1" t="s">
        <v>154</v>
      </c>
      <c r="C588" s="4">
        <v>46</v>
      </c>
      <c r="D588" s="8">
        <v>3.08</v>
      </c>
      <c r="E588" s="4">
        <v>16</v>
      </c>
      <c r="F588" s="8">
        <v>1.85</v>
      </c>
      <c r="G588" s="4">
        <v>30</v>
      </c>
      <c r="H588" s="8">
        <v>4.92</v>
      </c>
      <c r="I588" s="4">
        <v>0</v>
      </c>
    </row>
    <row r="589" spans="1:9" x14ac:dyDescent="0.2">
      <c r="A589" s="2">
        <v>5</v>
      </c>
      <c r="B589" s="1" t="s">
        <v>171</v>
      </c>
      <c r="C589" s="4">
        <v>42</v>
      </c>
      <c r="D589" s="8">
        <v>2.81</v>
      </c>
      <c r="E589" s="4">
        <v>37</v>
      </c>
      <c r="F589" s="8">
        <v>4.2699999999999996</v>
      </c>
      <c r="G589" s="4">
        <v>5</v>
      </c>
      <c r="H589" s="8">
        <v>0.82</v>
      </c>
      <c r="I589" s="4">
        <v>0</v>
      </c>
    </row>
    <row r="590" spans="1:9" x14ac:dyDescent="0.2">
      <c r="A590" s="2">
        <v>6</v>
      </c>
      <c r="B590" s="1" t="s">
        <v>172</v>
      </c>
      <c r="C590" s="4">
        <v>41</v>
      </c>
      <c r="D590" s="8">
        <v>2.75</v>
      </c>
      <c r="E590" s="4">
        <v>35</v>
      </c>
      <c r="F590" s="8">
        <v>4.04</v>
      </c>
      <c r="G590" s="4">
        <v>6</v>
      </c>
      <c r="H590" s="8">
        <v>0.98</v>
      </c>
      <c r="I590" s="4">
        <v>0</v>
      </c>
    </row>
    <row r="591" spans="1:9" x14ac:dyDescent="0.2">
      <c r="A591" s="2">
        <v>7</v>
      </c>
      <c r="B591" s="1" t="s">
        <v>169</v>
      </c>
      <c r="C591" s="4">
        <v>39</v>
      </c>
      <c r="D591" s="8">
        <v>2.61</v>
      </c>
      <c r="E591" s="4">
        <v>39</v>
      </c>
      <c r="F591" s="8">
        <v>4.5</v>
      </c>
      <c r="G591" s="4">
        <v>0</v>
      </c>
      <c r="H591" s="8">
        <v>0</v>
      </c>
      <c r="I591" s="4">
        <v>0</v>
      </c>
    </row>
    <row r="592" spans="1:9" x14ac:dyDescent="0.2">
      <c r="A592" s="2">
        <v>8</v>
      </c>
      <c r="B592" s="1" t="s">
        <v>161</v>
      </c>
      <c r="C592" s="4">
        <v>38</v>
      </c>
      <c r="D592" s="8">
        <v>2.5499999999999998</v>
      </c>
      <c r="E592" s="4">
        <v>23</v>
      </c>
      <c r="F592" s="8">
        <v>2.66</v>
      </c>
      <c r="G592" s="4">
        <v>15</v>
      </c>
      <c r="H592" s="8">
        <v>2.46</v>
      </c>
      <c r="I592" s="4">
        <v>0</v>
      </c>
    </row>
    <row r="593" spans="1:9" x14ac:dyDescent="0.2">
      <c r="A593" s="2">
        <v>8</v>
      </c>
      <c r="B593" s="1" t="s">
        <v>166</v>
      </c>
      <c r="C593" s="4">
        <v>38</v>
      </c>
      <c r="D593" s="8">
        <v>2.5499999999999998</v>
      </c>
      <c r="E593" s="4">
        <v>25</v>
      </c>
      <c r="F593" s="8">
        <v>2.89</v>
      </c>
      <c r="G593" s="4">
        <v>13</v>
      </c>
      <c r="H593" s="8">
        <v>2.13</v>
      </c>
      <c r="I593" s="4">
        <v>0</v>
      </c>
    </row>
    <row r="594" spans="1:9" x14ac:dyDescent="0.2">
      <c r="A594" s="2">
        <v>10</v>
      </c>
      <c r="B594" s="1" t="s">
        <v>167</v>
      </c>
      <c r="C594" s="4">
        <v>37</v>
      </c>
      <c r="D594" s="8">
        <v>2.48</v>
      </c>
      <c r="E594" s="4">
        <v>32</v>
      </c>
      <c r="F594" s="8">
        <v>3.7</v>
      </c>
      <c r="G594" s="4">
        <v>5</v>
      </c>
      <c r="H594" s="8">
        <v>0.82</v>
      </c>
      <c r="I594" s="4">
        <v>0</v>
      </c>
    </row>
    <row r="595" spans="1:9" x14ac:dyDescent="0.2">
      <c r="A595" s="2">
        <v>11</v>
      </c>
      <c r="B595" s="1" t="s">
        <v>159</v>
      </c>
      <c r="C595" s="4">
        <v>33</v>
      </c>
      <c r="D595" s="8">
        <v>2.21</v>
      </c>
      <c r="E595" s="4">
        <v>16</v>
      </c>
      <c r="F595" s="8">
        <v>1.85</v>
      </c>
      <c r="G595" s="4">
        <v>17</v>
      </c>
      <c r="H595" s="8">
        <v>2.79</v>
      </c>
      <c r="I595" s="4">
        <v>0</v>
      </c>
    </row>
    <row r="596" spans="1:9" x14ac:dyDescent="0.2">
      <c r="A596" s="2">
        <v>12</v>
      </c>
      <c r="B596" s="1" t="s">
        <v>155</v>
      </c>
      <c r="C596" s="4">
        <v>30</v>
      </c>
      <c r="D596" s="8">
        <v>2.0099999999999998</v>
      </c>
      <c r="E596" s="4">
        <v>6</v>
      </c>
      <c r="F596" s="8">
        <v>0.69</v>
      </c>
      <c r="G596" s="4">
        <v>24</v>
      </c>
      <c r="H596" s="8">
        <v>3.93</v>
      </c>
      <c r="I596" s="4">
        <v>0</v>
      </c>
    </row>
    <row r="597" spans="1:9" x14ac:dyDescent="0.2">
      <c r="A597" s="2">
        <v>12</v>
      </c>
      <c r="B597" s="1" t="s">
        <v>160</v>
      </c>
      <c r="C597" s="4">
        <v>30</v>
      </c>
      <c r="D597" s="8">
        <v>2.0099999999999998</v>
      </c>
      <c r="E597" s="4">
        <v>10</v>
      </c>
      <c r="F597" s="8">
        <v>1.1499999999999999</v>
      </c>
      <c r="G597" s="4">
        <v>20</v>
      </c>
      <c r="H597" s="8">
        <v>3.28</v>
      </c>
      <c r="I597" s="4">
        <v>0</v>
      </c>
    </row>
    <row r="598" spans="1:9" x14ac:dyDescent="0.2">
      <c r="A598" s="2">
        <v>14</v>
      </c>
      <c r="B598" s="1" t="s">
        <v>157</v>
      </c>
      <c r="C598" s="4">
        <v>29</v>
      </c>
      <c r="D598" s="8">
        <v>1.94</v>
      </c>
      <c r="E598" s="4">
        <v>12</v>
      </c>
      <c r="F598" s="8">
        <v>1.39</v>
      </c>
      <c r="G598" s="4">
        <v>17</v>
      </c>
      <c r="H598" s="8">
        <v>2.79</v>
      </c>
      <c r="I598" s="4">
        <v>0</v>
      </c>
    </row>
    <row r="599" spans="1:9" x14ac:dyDescent="0.2">
      <c r="A599" s="2">
        <v>15</v>
      </c>
      <c r="B599" s="1" t="s">
        <v>175</v>
      </c>
      <c r="C599" s="4">
        <v>28</v>
      </c>
      <c r="D599" s="8">
        <v>1.88</v>
      </c>
      <c r="E599" s="4">
        <v>25</v>
      </c>
      <c r="F599" s="8">
        <v>2.89</v>
      </c>
      <c r="G599" s="4">
        <v>3</v>
      </c>
      <c r="H599" s="8">
        <v>0.49</v>
      </c>
      <c r="I599" s="4">
        <v>0</v>
      </c>
    </row>
    <row r="600" spans="1:9" x14ac:dyDescent="0.2">
      <c r="A600" s="2">
        <v>16</v>
      </c>
      <c r="B600" s="1" t="s">
        <v>158</v>
      </c>
      <c r="C600" s="4">
        <v>24</v>
      </c>
      <c r="D600" s="8">
        <v>1.61</v>
      </c>
      <c r="E600" s="4">
        <v>18</v>
      </c>
      <c r="F600" s="8">
        <v>2.08</v>
      </c>
      <c r="G600" s="4">
        <v>6</v>
      </c>
      <c r="H600" s="8">
        <v>0.98</v>
      </c>
      <c r="I600" s="4">
        <v>0</v>
      </c>
    </row>
    <row r="601" spans="1:9" x14ac:dyDescent="0.2">
      <c r="A601" s="2">
        <v>17</v>
      </c>
      <c r="B601" s="1" t="s">
        <v>156</v>
      </c>
      <c r="C601" s="4">
        <v>23</v>
      </c>
      <c r="D601" s="8">
        <v>1.54</v>
      </c>
      <c r="E601" s="4">
        <v>7</v>
      </c>
      <c r="F601" s="8">
        <v>0.81</v>
      </c>
      <c r="G601" s="4">
        <v>16</v>
      </c>
      <c r="H601" s="8">
        <v>2.62</v>
      </c>
      <c r="I601" s="4">
        <v>0</v>
      </c>
    </row>
    <row r="602" spans="1:9" x14ac:dyDescent="0.2">
      <c r="A602" s="2">
        <v>18</v>
      </c>
      <c r="B602" s="1" t="s">
        <v>173</v>
      </c>
      <c r="C602" s="4">
        <v>22</v>
      </c>
      <c r="D602" s="8">
        <v>1.47</v>
      </c>
      <c r="E602" s="4">
        <v>16</v>
      </c>
      <c r="F602" s="8">
        <v>1.85</v>
      </c>
      <c r="G602" s="4">
        <v>6</v>
      </c>
      <c r="H602" s="8">
        <v>0.98</v>
      </c>
      <c r="I602" s="4">
        <v>0</v>
      </c>
    </row>
    <row r="603" spans="1:9" x14ac:dyDescent="0.2">
      <c r="A603" s="2">
        <v>19</v>
      </c>
      <c r="B603" s="1" t="s">
        <v>186</v>
      </c>
      <c r="C603" s="4">
        <v>20</v>
      </c>
      <c r="D603" s="8">
        <v>1.34</v>
      </c>
      <c r="E603" s="4">
        <v>12</v>
      </c>
      <c r="F603" s="8">
        <v>1.39</v>
      </c>
      <c r="G603" s="4">
        <v>8</v>
      </c>
      <c r="H603" s="8">
        <v>1.31</v>
      </c>
      <c r="I603" s="4">
        <v>0</v>
      </c>
    </row>
    <row r="604" spans="1:9" x14ac:dyDescent="0.2">
      <c r="A604" s="2">
        <v>20</v>
      </c>
      <c r="B604" s="1" t="s">
        <v>174</v>
      </c>
      <c r="C604" s="4">
        <v>19</v>
      </c>
      <c r="D604" s="8">
        <v>1.27</v>
      </c>
      <c r="E604" s="4">
        <v>8</v>
      </c>
      <c r="F604" s="8">
        <v>0.92</v>
      </c>
      <c r="G604" s="4">
        <v>11</v>
      </c>
      <c r="H604" s="8">
        <v>1.8</v>
      </c>
      <c r="I604" s="4">
        <v>0</v>
      </c>
    </row>
    <row r="605" spans="1:9" x14ac:dyDescent="0.2">
      <c r="A605" s="2">
        <v>20</v>
      </c>
      <c r="B605" s="1" t="s">
        <v>163</v>
      </c>
      <c r="C605" s="4">
        <v>19</v>
      </c>
      <c r="D605" s="8">
        <v>1.27</v>
      </c>
      <c r="E605" s="4">
        <v>5</v>
      </c>
      <c r="F605" s="8">
        <v>0.57999999999999996</v>
      </c>
      <c r="G605" s="4">
        <v>14</v>
      </c>
      <c r="H605" s="8">
        <v>2.2999999999999998</v>
      </c>
      <c r="I605" s="4">
        <v>0</v>
      </c>
    </row>
    <row r="606" spans="1:9" x14ac:dyDescent="0.2">
      <c r="A606" s="1"/>
      <c r="C606" s="4"/>
      <c r="D606" s="8"/>
      <c r="E606" s="4"/>
      <c r="F606" s="8"/>
      <c r="G606" s="4"/>
      <c r="H606" s="8"/>
      <c r="I606" s="4"/>
    </row>
    <row r="607" spans="1:9" x14ac:dyDescent="0.2">
      <c r="A607" s="1" t="s">
        <v>27</v>
      </c>
      <c r="C607" s="4"/>
      <c r="D607" s="8"/>
      <c r="E607" s="4"/>
      <c r="F607" s="8"/>
      <c r="G607" s="4"/>
      <c r="H607" s="8"/>
      <c r="I607" s="4"/>
    </row>
    <row r="608" spans="1:9" x14ac:dyDescent="0.2">
      <c r="A608" s="2">
        <v>1</v>
      </c>
      <c r="B608" s="1" t="s">
        <v>170</v>
      </c>
      <c r="C608" s="4">
        <v>44</v>
      </c>
      <c r="D608" s="8">
        <v>7.33</v>
      </c>
      <c r="E608" s="4">
        <v>42</v>
      </c>
      <c r="F608" s="8">
        <v>11.93</v>
      </c>
      <c r="G608" s="4">
        <v>2</v>
      </c>
      <c r="H608" s="8">
        <v>0.88</v>
      </c>
      <c r="I608" s="4">
        <v>0</v>
      </c>
    </row>
    <row r="609" spans="1:9" x14ac:dyDescent="0.2">
      <c r="A609" s="2">
        <v>2</v>
      </c>
      <c r="B609" s="1" t="s">
        <v>154</v>
      </c>
      <c r="C609" s="4">
        <v>26</v>
      </c>
      <c r="D609" s="8">
        <v>4.33</v>
      </c>
      <c r="E609" s="4">
        <v>7</v>
      </c>
      <c r="F609" s="8">
        <v>1.99</v>
      </c>
      <c r="G609" s="4">
        <v>19</v>
      </c>
      <c r="H609" s="8">
        <v>8.3699999999999992</v>
      </c>
      <c r="I609" s="4">
        <v>0</v>
      </c>
    </row>
    <row r="610" spans="1:9" x14ac:dyDescent="0.2">
      <c r="A610" s="2">
        <v>3</v>
      </c>
      <c r="B610" s="1" t="s">
        <v>169</v>
      </c>
      <c r="C610" s="4">
        <v>20</v>
      </c>
      <c r="D610" s="8">
        <v>3.33</v>
      </c>
      <c r="E610" s="4">
        <v>18</v>
      </c>
      <c r="F610" s="8">
        <v>5.1100000000000003</v>
      </c>
      <c r="G610" s="4">
        <v>2</v>
      </c>
      <c r="H610" s="8">
        <v>0.88</v>
      </c>
      <c r="I610" s="4">
        <v>0</v>
      </c>
    </row>
    <row r="611" spans="1:9" x14ac:dyDescent="0.2">
      <c r="A611" s="2">
        <v>4</v>
      </c>
      <c r="B611" s="1" t="s">
        <v>168</v>
      </c>
      <c r="C611" s="4">
        <v>16</v>
      </c>
      <c r="D611" s="8">
        <v>2.67</v>
      </c>
      <c r="E611" s="4">
        <v>16</v>
      </c>
      <c r="F611" s="8">
        <v>4.55</v>
      </c>
      <c r="G611" s="4">
        <v>0</v>
      </c>
      <c r="H611" s="8">
        <v>0</v>
      </c>
      <c r="I611" s="4">
        <v>0</v>
      </c>
    </row>
    <row r="612" spans="1:9" x14ac:dyDescent="0.2">
      <c r="A612" s="2">
        <v>5</v>
      </c>
      <c r="B612" s="1" t="s">
        <v>164</v>
      </c>
      <c r="C612" s="4">
        <v>15</v>
      </c>
      <c r="D612" s="8">
        <v>2.5</v>
      </c>
      <c r="E612" s="4">
        <v>9</v>
      </c>
      <c r="F612" s="8">
        <v>2.56</v>
      </c>
      <c r="G612" s="4">
        <v>5</v>
      </c>
      <c r="H612" s="8">
        <v>2.2000000000000002</v>
      </c>
      <c r="I612" s="4">
        <v>0</v>
      </c>
    </row>
    <row r="613" spans="1:9" x14ac:dyDescent="0.2">
      <c r="A613" s="2">
        <v>6</v>
      </c>
      <c r="B613" s="1" t="s">
        <v>161</v>
      </c>
      <c r="C613" s="4">
        <v>14</v>
      </c>
      <c r="D613" s="8">
        <v>2.33</v>
      </c>
      <c r="E613" s="4">
        <v>10</v>
      </c>
      <c r="F613" s="8">
        <v>2.84</v>
      </c>
      <c r="G613" s="4">
        <v>4</v>
      </c>
      <c r="H613" s="8">
        <v>1.76</v>
      </c>
      <c r="I613" s="4">
        <v>0</v>
      </c>
    </row>
    <row r="614" spans="1:9" x14ac:dyDescent="0.2">
      <c r="A614" s="2">
        <v>6</v>
      </c>
      <c r="B614" s="1" t="s">
        <v>218</v>
      </c>
      <c r="C614" s="4">
        <v>14</v>
      </c>
      <c r="D614" s="8">
        <v>2.33</v>
      </c>
      <c r="E614" s="4">
        <v>1</v>
      </c>
      <c r="F614" s="8">
        <v>0.28000000000000003</v>
      </c>
      <c r="G614" s="4">
        <v>13</v>
      </c>
      <c r="H614" s="8">
        <v>5.73</v>
      </c>
      <c r="I614" s="4">
        <v>0</v>
      </c>
    </row>
    <row r="615" spans="1:9" x14ac:dyDescent="0.2">
      <c r="A615" s="2">
        <v>6</v>
      </c>
      <c r="B615" s="1" t="s">
        <v>172</v>
      </c>
      <c r="C615" s="4">
        <v>14</v>
      </c>
      <c r="D615" s="8">
        <v>2.33</v>
      </c>
      <c r="E615" s="4">
        <v>13</v>
      </c>
      <c r="F615" s="8">
        <v>3.69</v>
      </c>
      <c r="G615" s="4">
        <v>1</v>
      </c>
      <c r="H615" s="8">
        <v>0.44</v>
      </c>
      <c r="I615" s="4">
        <v>0</v>
      </c>
    </row>
    <row r="616" spans="1:9" x14ac:dyDescent="0.2">
      <c r="A616" s="2">
        <v>6</v>
      </c>
      <c r="B616" s="1" t="s">
        <v>173</v>
      </c>
      <c r="C616" s="4">
        <v>14</v>
      </c>
      <c r="D616" s="8">
        <v>2.33</v>
      </c>
      <c r="E616" s="4">
        <v>12</v>
      </c>
      <c r="F616" s="8">
        <v>3.41</v>
      </c>
      <c r="G616" s="4">
        <v>2</v>
      </c>
      <c r="H616" s="8">
        <v>0.88</v>
      </c>
      <c r="I616" s="4">
        <v>0</v>
      </c>
    </row>
    <row r="617" spans="1:9" x14ac:dyDescent="0.2">
      <c r="A617" s="2">
        <v>10</v>
      </c>
      <c r="B617" s="1" t="s">
        <v>156</v>
      </c>
      <c r="C617" s="4">
        <v>11</v>
      </c>
      <c r="D617" s="8">
        <v>1.83</v>
      </c>
      <c r="E617" s="4">
        <v>4</v>
      </c>
      <c r="F617" s="8">
        <v>1.1399999999999999</v>
      </c>
      <c r="G617" s="4">
        <v>7</v>
      </c>
      <c r="H617" s="8">
        <v>3.08</v>
      </c>
      <c r="I617" s="4">
        <v>0</v>
      </c>
    </row>
    <row r="618" spans="1:9" x14ac:dyDescent="0.2">
      <c r="A618" s="2">
        <v>10</v>
      </c>
      <c r="B618" s="1" t="s">
        <v>157</v>
      </c>
      <c r="C618" s="4">
        <v>11</v>
      </c>
      <c r="D618" s="8">
        <v>1.83</v>
      </c>
      <c r="E618" s="4">
        <v>6</v>
      </c>
      <c r="F618" s="8">
        <v>1.7</v>
      </c>
      <c r="G618" s="4">
        <v>5</v>
      </c>
      <c r="H618" s="8">
        <v>2.2000000000000002</v>
      </c>
      <c r="I618" s="4">
        <v>0</v>
      </c>
    </row>
    <row r="619" spans="1:9" x14ac:dyDescent="0.2">
      <c r="A619" s="2">
        <v>10</v>
      </c>
      <c r="B619" s="1" t="s">
        <v>159</v>
      </c>
      <c r="C619" s="4">
        <v>11</v>
      </c>
      <c r="D619" s="8">
        <v>1.83</v>
      </c>
      <c r="E619" s="4">
        <v>9</v>
      </c>
      <c r="F619" s="8">
        <v>2.56</v>
      </c>
      <c r="G619" s="4">
        <v>2</v>
      </c>
      <c r="H619" s="8">
        <v>0.88</v>
      </c>
      <c r="I619" s="4">
        <v>0</v>
      </c>
    </row>
    <row r="620" spans="1:9" x14ac:dyDescent="0.2">
      <c r="A620" s="2">
        <v>10</v>
      </c>
      <c r="B620" s="1" t="s">
        <v>166</v>
      </c>
      <c r="C620" s="4">
        <v>11</v>
      </c>
      <c r="D620" s="8">
        <v>1.83</v>
      </c>
      <c r="E620" s="4">
        <v>7</v>
      </c>
      <c r="F620" s="8">
        <v>1.99</v>
      </c>
      <c r="G620" s="4">
        <v>4</v>
      </c>
      <c r="H620" s="8">
        <v>1.76</v>
      </c>
      <c r="I620" s="4">
        <v>0</v>
      </c>
    </row>
    <row r="621" spans="1:9" x14ac:dyDescent="0.2">
      <c r="A621" s="2">
        <v>10</v>
      </c>
      <c r="B621" s="1" t="s">
        <v>219</v>
      </c>
      <c r="C621" s="4">
        <v>11</v>
      </c>
      <c r="D621" s="8">
        <v>1.83</v>
      </c>
      <c r="E621" s="4">
        <v>0</v>
      </c>
      <c r="F621" s="8">
        <v>0</v>
      </c>
      <c r="G621" s="4">
        <v>0</v>
      </c>
      <c r="H621" s="8">
        <v>0</v>
      </c>
      <c r="I621" s="4">
        <v>0</v>
      </c>
    </row>
    <row r="622" spans="1:9" x14ac:dyDescent="0.2">
      <c r="A622" s="2">
        <v>10</v>
      </c>
      <c r="B622" s="1" t="s">
        <v>171</v>
      </c>
      <c r="C622" s="4">
        <v>11</v>
      </c>
      <c r="D622" s="8">
        <v>1.83</v>
      </c>
      <c r="E622" s="4">
        <v>8</v>
      </c>
      <c r="F622" s="8">
        <v>2.27</v>
      </c>
      <c r="G622" s="4">
        <v>3</v>
      </c>
      <c r="H622" s="8">
        <v>1.32</v>
      </c>
      <c r="I622" s="4">
        <v>0</v>
      </c>
    </row>
    <row r="623" spans="1:9" x14ac:dyDescent="0.2">
      <c r="A623" s="2">
        <v>16</v>
      </c>
      <c r="B623" s="1" t="s">
        <v>181</v>
      </c>
      <c r="C623" s="4">
        <v>10</v>
      </c>
      <c r="D623" s="8">
        <v>1.67</v>
      </c>
      <c r="E623" s="4">
        <v>9</v>
      </c>
      <c r="F623" s="8">
        <v>2.56</v>
      </c>
      <c r="G623" s="4">
        <v>1</v>
      </c>
      <c r="H623" s="8">
        <v>0.44</v>
      </c>
      <c r="I623" s="4">
        <v>0</v>
      </c>
    </row>
    <row r="624" spans="1:9" x14ac:dyDescent="0.2">
      <c r="A624" s="2">
        <v>16</v>
      </c>
      <c r="B624" s="1" t="s">
        <v>158</v>
      </c>
      <c r="C624" s="4">
        <v>10</v>
      </c>
      <c r="D624" s="8">
        <v>1.67</v>
      </c>
      <c r="E624" s="4">
        <v>8</v>
      </c>
      <c r="F624" s="8">
        <v>2.27</v>
      </c>
      <c r="G624" s="4">
        <v>2</v>
      </c>
      <c r="H624" s="8">
        <v>0.88</v>
      </c>
      <c r="I624" s="4">
        <v>0</v>
      </c>
    </row>
    <row r="625" spans="1:9" x14ac:dyDescent="0.2">
      <c r="A625" s="2">
        <v>16</v>
      </c>
      <c r="B625" s="1" t="s">
        <v>179</v>
      </c>
      <c r="C625" s="4">
        <v>10</v>
      </c>
      <c r="D625" s="8">
        <v>1.67</v>
      </c>
      <c r="E625" s="4">
        <v>9</v>
      </c>
      <c r="F625" s="8">
        <v>2.56</v>
      </c>
      <c r="G625" s="4">
        <v>1</v>
      </c>
      <c r="H625" s="8">
        <v>0.44</v>
      </c>
      <c r="I625" s="4">
        <v>0</v>
      </c>
    </row>
    <row r="626" spans="1:9" x14ac:dyDescent="0.2">
      <c r="A626" s="2">
        <v>16</v>
      </c>
      <c r="B626" s="1" t="s">
        <v>220</v>
      </c>
      <c r="C626" s="4">
        <v>10</v>
      </c>
      <c r="D626" s="8">
        <v>1.67</v>
      </c>
      <c r="E626" s="4">
        <v>9</v>
      </c>
      <c r="F626" s="8">
        <v>2.56</v>
      </c>
      <c r="G626" s="4">
        <v>1</v>
      </c>
      <c r="H626" s="8">
        <v>0.44</v>
      </c>
      <c r="I626" s="4">
        <v>0</v>
      </c>
    </row>
    <row r="627" spans="1:9" x14ac:dyDescent="0.2">
      <c r="A627" s="2">
        <v>20</v>
      </c>
      <c r="B627" s="1" t="s">
        <v>208</v>
      </c>
      <c r="C627" s="4">
        <v>9</v>
      </c>
      <c r="D627" s="8">
        <v>1.5</v>
      </c>
      <c r="E627" s="4">
        <v>6</v>
      </c>
      <c r="F627" s="8">
        <v>1.7</v>
      </c>
      <c r="G627" s="4">
        <v>3</v>
      </c>
      <c r="H627" s="8">
        <v>1.32</v>
      </c>
      <c r="I627" s="4">
        <v>0</v>
      </c>
    </row>
    <row r="628" spans="1:9" x14ac:dyDescent="0.2">
      <c r="A628" s="1"/>
      <c r="C628" s="4"/>
      <c r="D628" s="8"/>
      <c r="E628" s="4"/>
      <c r="F628" s="8"/>
      <c r="G628" s="4"/>
      <c r="H628" s="8"/>
      <c r="I628" s="4"/>
    </row>
    <row r="629" spans="1:9" x14ac:dyDescent="0.2">
      <c r="A629" s="1" t="s">
        <v>28</v>
      </c>
      <c r="C629" s="4"/>
      <c r="D629" s="8"/>
      <c r="E629" s="4"/>
      <c r="F629" s="8"/>
      <c r="G629" s="4"/>
      <c r="H629" s="8"/>
      <c r="I629" s="4"/>
    </row>
    <row r="630" spans="1:9" x14ac:dyDescent="0.2">
      <c r="A630" s="2">
        <v>1</v>
      </c>
      <c r="B630" s="1" t="s">
        <v>170</v>
      </c>
      <c r="C630" s="4">
        <v>63</v>
      </c>
      <c r="D630" s="8">
        <v>6.95</v>
      </c>
      <c r="E630" s="4">
        <v>56</v>
      </c>
      <c r="F630" s="8">
        <v>11.07</v>
      </c>
      <c r="G630" s="4">
        <v>7</v>
      </c>
      <c r="H630" s="8">
        <v>1.8</v>
      </c>
      <c r="I630" s="4">
        <v>0</v>
      </c>
    </row>
    <row r="631" spans="1:9" x14ac:dyDescent="0.2">
      <c r="A631" s="2">
        <v>2</v>
      </c>
      <c r="B631" s="1" t="s">
        <v>154</v>
      </c>
      <c r="C631" s="4">
        <v>49</v>
      </c>
      <c r="D631" s="8">
        <v>5.41</v>
      </c>
      <c r="E631" s="4">
        <v>6</v>
      </c>
      <c r="F631" s="8">
        <v>1.19</v>
      </c>
      <c r="G631" s="4">
        <v>43</v>
      </c>
      <c r="H631" s="8">
        <v>11.05</v>
      </c>
      <c r="I631" s="4">
        <v>0</v>
      </c>
    </row>
    <row r="632" spans="1:9" x14ac:dyDescent="0.2">
      <c r="A632" s="2">
        <v>3</v>
      </c>
      <c r="B632" s="1" t="s">
        <v>169</v>
      </c>
      <c r="C632" s="4">
        <v>32</v>
      </c>
      <c r="D632" s="8">
        <v>3.53</v>
      </c>
      <c r="E632" s="4">
        <v>32</v>
      </c>
      <c r="F632" s="8">
        <v>6.32</v>
      </c>
      <c r="G632" s="4">
        <v>0</v>
      </c>
      <c r="H632" s="8">
        <v>0</v>
      </c>
      <c r="I632" s="4">
        <v>0</v>
      </c>
    </row>
    <row r="633" spans="1:9" x14ac:dyDescent="0.2">
      <c r="A633" s="2">
        <v>4</v>
      </c>
      <c r="B633" s="1" t="s">
        <v>172</v>
      </c>
      <c r="C633" s="4">
        <v>29</v>
      </c>
      <c r="D633" s="8">
        <v>3.2</v>
      </c>
      <c r="E633" s="4">
        <v>26</v>
      </c>
      <c r="F633" s="8">
        <v>5.14</v>
      </c>
      <c r="G633" s="4">
        <v>3</v>
      </c>
      <c r="H633" s="8">
        <v>0.77</v>
      </c>
      <c r="I633" s="4">
        <v>0</v>
      </c>
    </row>
    <row r="634" spans="1:9" x14ac:dyDescent="0.2">
      <c r="A634" s="2">
        <v>5</v>
      </c>
      <c r="B634" s="1" t="s">
        <v>171</v>
      </c>
      <c r="C634" s="4">
        <v>25</v>
      </c>
      <c r="D634" s="8">
        <v>2.76</v>
      </c>
      <c r="E634" s="4">
        <v>20</v>
      </c>
      <c r="F634" s="8">
        <v>3.95</v>
      </c>
      <c r="G634" s="4">
        <v>4</v>
      </c>
      <c r="H634" s="8">
        <v>1.03</v>
      </c>
      <c r="I634" s="4">
        <v>1</v>
      </c>
    </row>
    <row r="635" spans="1:9" x14ac:dyDescent="0.2">
      <c r="A635" s="2">
        <v>6</v>
      </c>
      <c r="B635" s="1" t="s">
        <v>158</v>
      </c>
      <c r="C635" s="4">
        <v>24</v>
      </c>
      <c r="D635" s="8">
        <v>2.65</v>
      </c>
      <c r="E635" s="4">
        <v>16</v>
      </c>
      <c r="F635" s="8">
        <v>3.16</v>
      </c>
      <c r="G635" s="4">
        <v>7</v>
      </c>
      <c r="H635" s="8">
        <v>1.8</v>
      </c>
      <c r="I635" s="4">
        <v>1</v>
      </c>
    </row>
    <row r="636" spans="1:9" x14ac:dyDescent="0.2">
      <c r="A636" s="2">
        <v>7</v>
      </c>
      <c r="B636" s="1" t="s">
        <v>155</v>
      </c>
      <c r="C636" s="4">
        <v>23</v>
      </c>
      <c r="D636" s="8">
        <v>2.54</v>
      </c>
      <c r="E636" s="4">
        <v>3</v>
      </c>
      <c r="F636" s="8">
        <v>0.59</v>
      </c>
      <c r="G636" s="4">
        <v>20</v>
      </c>
      <c r="H636" s="8">
        <v>5.14</v>
      </c>
      <c r="I636" s="4">
        <v>0</v>
      </c>
    </row>
    <row r="637" spans="1:9" x14ac:dyDescent="0.2">
      <c r="A637" s="2">
        <v>8</v>
      </c>
      <c r="B637" s="1" t="s">
        <v>174</v>
      </c>
      <c r="C637" s="4">
        <v>21</v>
      </c>
      <c r="D637" s="8">
        <v>2.3199999999999998</v>
      </c>
      <c r="E637" s="4">
        <v>10</v>
      </c>
      <c r="F637" s="8">
        <v>1.98</v>
      </c>
      <c r="G637" s="4">
        <v>11</v>
      </c>
      <c r="H637" s="8">
        <v>2.83</v>
      </c>
      <c r="I637" s="4">
        <v>0</v>
      </c>
    </row>
    <row r="638" spans="1:9" x14ac:dyDescent="0.2">
      <c r="A638" s="2">
        <v>9</v>
      </c>
      <c r="B638" s="1" t="s">
        <v>156</v>
      </c>
      <c r="C638" s="4">
        <v>19</v>
      </c>
      <c r="D638" s="8">
        <v>2.1</v>
      </c>
      <c r="E638" s="4">
        <v>5</v>
      </c>
      <c r="F638" s="8">
        <v>0.99</v>
      </c>
      <c r="G638" s="4">
        <v>14</v>
      </c>
      <c r="H638" s="8">
        <v>3.6</v>
      </c>
      <c r="I638" s="4">
        <v>0</v>
      </c>
    </row>
    <row r="639" spans="1:9" x14ac:dyDescent="0.2">
      <c r="A639" s="2">
        <v>9</v>
      </c>
      <c r="B639" s="1" t="s">
        <v>159</v>
      </c>
      <c r="C639" s="4">
        <v>19</v>
      </c>
      <c r="D639" s="8">
        <v>2.1</v>
      </c>
      <c r="E639" s="4">
        <v>13</v>
      </c>
      <c r="F639" s="8">
        <v>2.57</v>
      </c>
      <c r="G639" s="4">
        <v>6</v>
      </c>
      <c r="H639" s="8">
        <v>1.54</v>
      </c>
      <c r="I639" s="4">
        <v>0</v>
      </c>
    </row>
    <row r="640" spans="1:9" x14ac:dyDescent="0.2">
      <c r="A640" s="2">
        <v>9</v>
      </c>
      <c r="B640" s="1" t="s">
        <v>160</v>
      </c>
      <c r="C640" s="4">
        <v>19</v>
      </c>
      <c r="D640" s="8">
        <v>2.1</v>
      </c>
      <c r="E640" s="4">
        <v>8</v>
      </c>
      <c r="F640" s="8">
        <v>1.58</v>
      </c>
      <c r="G640" s="4">
        <v>11</v>
      </c>
      <c r="H640" s="8">
        <v>2.83</v>
      </c>
      <c r="I640" s="4">
        <v>0</v>
      </c>
    </row>
    <row r="641" spans="1:9" x14ac:dyDescent="0.2">
      <c r="A641" s="2">
        <v>12</v>
      </c>
      <c r="B641" s="1" t="s">
        <v>161</v>
      </c>
      <c r="C641" s="4">
        <v>18</v>
      </c>
      <c r="D641" s="8">
        <v>1.99</v>
      </c>
      <c r="E641" s="4">
        <v>14</v>
      </c>
      <c r="F641" s="8">
        <v>2.77</v>
      </c>
      <c r="G641" s="4">
        <v>4</v>
      </c>
      <c r="H641" s="8">
        <v>1.03</v>
      </c>
      <c r="I641" s="4">
        <v>0</v>
      </c>
    </row>
    <row r="642" spans="1:9" x14ac:dyDescent="0.2">
      <c r="A642" s="2">
        <v>12</v>
      </c>
      <c r="B642" s="1" t="s">
        <v>166</v>
      </c>
      <c r="C642" s="4">
        <v>18</v>
      </c>
      <c r="D642" s="8">
        <v>1.99</v>
      </c>
      <c r="E642" s="4">
        <v>16</v>
      </c>
      <c r="F642" s="8">
        <v>3.16</v>
      </c>
      <c r="G642" s="4">
        <v>2</v>
      </c>
      <c r="H642" s="8">
        <v>0.51</v>
      </c>
      <c r="I642" s="4">
        <v>0</v>
      </c>
    </row>
    <row r="643" spans="1:9" x14ac:dyDescent="0.2">
      <c r="A643" s="2">
        <v>14</v>
      </c>
      <c r="B643" s="1" t="s">
        <v>157</v>
      </c>
      <c r="C643" s="4">
        <v>17</v>
      </c>
      <c r="D643" s="8">
        <v>1.88</v>
      </c>
      <c r="E643" s="4">
        <v>7</v>
      </c>
      <c r="F643" s="8">
        <v>1.38</v>
      </c>
      <c r="G643" s="4">
        <v>10</v>
      </c>
      <c r="H643" s="8">
        <v>2.57</v>
      </c>
      <c r="I643" s="4">
        <v>0</v>
      </c>
    </row>
    <row r="644" spans="1:9" x14ac:dyDescent="0.2">
      <c r="A644" s="2">
        <v>15</v>
      </c>
      <c r="B644" s="1" t="s">
        <v>173</v>
      </c>
      <c r="C644" s="4">
        <v>16</v>
      </c>
      <c r="D644" s="8">
        <v>1.77</v>
      </c>
      <c r="E644" s="4">
        <v>15</v>
      </c>
      <c r="F644" s="8">
        <v>2.96</v>
      </c>
      <c r="G644" s="4">
        <v>1</v>
      </c>
      <c r="H644" s="8">
        <v>0.26</v>
      </c>
      <c r="I644" s="4">
        <v>0</v>
      </c>
    </row>
    <row r="645" spans="1:9" x14ac:dyDescent="0.2">
      <c r="A645" s="2">
        <v>16</v>
      </c>
      <c r="B645" s="1" t="s">
        <v>164</v>
      </c>
      <c r="C645" s="4">
        <v>15</v>
      </c>
      <c r="D645" s="8">
        <v>1.66</v>
      </c>
      <c r="E645" s="4">
        <v>7</v>
      </c>
      <c r="F645" s="8">
        <v>1.38</v>
      </c>
      <c r="G645" s="4">
        <v>7</v>
      </c>
      <c r="H645" s="8">
        <v>1.8</v>
      </c>
      <c r="I645" s="4">
        <v>0</v>
      </c>
    </row>
    <row r="646" spans="1:9" x14ac:dyDescent="0.2">
      <c r="A646" s="2">
        <v>17</v>
      </c>
      <c r="B646" s="1" t="s">
        <v>203</v>
      </c>
      <c r="C646" s="4">
        <v>14</v>
      </c>
      <c r="D646" s="8">
        <v>1.55</v>
      </c>
      <c r="E646" s="4">
        <v>6</v>
      </c>
      <c r="F646" s="8">
        <v>1.19</v>
      </c>
      <c r="G646" s="4">
        <v>8</v>
      </c>
      <c r="H646" s="8">
        <v>2.06</v>
      </c>
      <c r="I646" s="4">
        <v>0</v>
      </c>
    </row>
    <row r="647" spans="1:9" x14ac:dyDescent="0.2">
      <c r="A647" s="2">
        <v>17</v>
      </c>
      <c r="B647" s="1" t="s">
        <v>221</v>
      </c>
      <c r="C647" s="4">
        <v>14</v>
      </c>
      <c r="D647" s="8">
        <v>1.55</v>
      </c>
      <c r="E647" s="4">
        <v>1</v>
      </c>
      <c r="F647" s="8">
        <v>0.2</v>
      </c>
      <c r="G647" s="4">
        <v>13</v>
      </c>
      <c r="H647" s="8">
        <v>3.34</v>
      </c>
      <c r="I647" s="4">
        <v>0</v>
      </c>
    </row>
    <row r="648" spans="1:9" x14ac:dyDescent="0.2">
      <c r="A648" s="2">
        <v>17</v>
      </c>
      <c r="B648" s="1" t="s">
        <v>182</v>
      </c>
      <c r="C648" s="4">
        <v>14</v>
      </c>
      <c r="D648" s="8">
        <v>1.55</v>
      </c>
      <c r="E648" s="4">
        <v>7</v>
      </c>
      <c r="F648" s="8">
        <v>1.38</v>
      </c>
      <c r="G648" s="4">
        <v>7</v>
      </c>
      <c r="H648" s="8">
        <v>1.8</v>
      </c>
      <c r="I648" s="4">
        <v>0</v>
      </c>
    </row>
    <row r="649" spans="1:9" x14ac:dyDescent="0.2">
      <c r="A649" s="2">
        <v>17</v>
      </c>
      <c r="B649" s="1" t="s">
        <v>222</v>
      </c>
      <c r="C649" s="4">
        <v>14</v>
      </c>
      <c r="D649" s="8">
        <v>1.55</v>
      </c>
      <c r="E649" s="4">
        <v>10</v>
      </c>
      <c r="F649" s="8">
        <v>1.98</v>
      </c>
      <c r="G649" s="4">
        <v>4</v>
      </c>
      <c r="H649" s="8">
        <v>1.03</v>
      </c>
      <c r="I649" s="4">
        <v>0</v>
      </c>
    </row>
    <row r="650" spans="1:9" x14ac:dyDescent="0.2">
      <c r="A650" s="1"/>
      <c r="C650" s="4"/>
      <c r="D650" s="8"/>
      <c r="E650" s="4"/>
      <c r="F650" s="8"/>
      <c r="G650" s="4"/>
      <c r="H650" s="8"/>
      <c r="I650" s="4"/>
    </row>
    <row r="651" spans="1:9" x14ac:dyDescent="0.2">
      <c r="A651" s="1" t="s">
        <v>29</v>
      </c>
      <c r="C651" s="4"/>
      <c r="D651" s="8"/>
      <c r="E651" s="4"/>
      <c r="F651" s="8"/>
      <c r="G651" s="4"/>
      <c r="H651" s="8"/>
      <c r="I651" s="4"/>
    </row>
    <row r="652" spans="1:9" x14ac:dyDescent="0.2">
      <c r="A652" s="2">
        <v>1</v>
      </c>
      <c r="B652" s="1" t="s">
        <v>164</v>
      </c>
      <c r="C652" s="4">
        <v>61</v>
      </c>
      <c r="D652" s="8">
        <v>7.24</v>
      </c>
      <c r="E652" s="4">
        <v>41</v>
      </c>
      <c r="F652" s="8">
        <v>8.35</v>
      </c>
      <c r="G652" s="4">
        <v>20</v>
      </c>
      <c r="H652" s="8">
        <v>5.9</v>
      </c>
      <c r="I652" s="4">
        <v>0</v>
      </c>
    </row>
    <row r="653" spans="1:9" x14ac:dyDescent="0.2">
      <c r="A653" s="2">
        <v>2</v>
      </c>
      <c r="B653" s="1" t="s">
        <v>170</v>
      </c>
      <c r="C653" s="4">
        <v>47</v>
      </c>
      <c r="D653" s="8">
        <v>5.58</v>
      </c>
      <c r="E653" s="4">
        <v>44</v>
      </c>
      <c r="F653" s="8">
        <v>8.9600000000000009</v>
      </c>
      <c r="G653" s="4">
        <v>3</v>
      </c>
      <c r="H653" s="8">
        <v>0.88</v>
      </c>
      <c r="I653" s="4">
        <v>0</v>
      </c>
    </row>
    <row r="654" spans="1:9" x14ac:dyDescent="0.2">
      <c r="A654" s="2">
        <v>3</v>
      </c>
      <c r="B654" s="1" t="s">
        <v>171</v>
      </c>
      <c r="C654" s="4">
        <v>28</v>
      </c>
      <c r="D654" s="8">
        <v>3.32</v>
      </c>
      <c r="E654" s="4">
        <v>23</v>
      </c>
      <c r="F654" s="8">
        <v>4.68</v>
      </c>
      <c r="G654" s="4">
        <v>5</v>
      </c>
      <c r="H654" s="8">
        <v>1.47</v>
      </c>
      <c r="I654" s="4">
        <v>0</v>
      </c>
    </row>
    <row r="655" spans="1:9" x14ac:dyDescent="0.2">
      <c r="A655" s="2">
        <v>4</v>
      </c>
      <c r="B655" s="1" t="s">
        <v>160</v>
      </c>
      <c r="C655" s="4">
        <v>27</v>
      </c>
      <c r="D655" s="8">
        <v>3.2</v>
      </c>
      <c r="E655" s="4">
        <v>9</v>
      </c>
      <c r="F655" s="8">
        <v>1.83</v>
      </c>
      <c r="G655" s="4">
        <v>18</v>
      </c>
      <c r="H655" s="8">
        <v>5.31</v>
      </c>
      <c r="I655" s="4">
        <v>0</v>
      </c>
    </row>
    <row r="656" spans="1:9" x14ac:dyDescent="0.2">
      <c r="A656" s="2">
        <v>5</v>
      </c>
      <c r="B656" s="1" t="s">
        <v>169</v>
      </c>
      <c r="C656" s="4">
        <v>24</v>
      </c>
      <c r="D656" s="8">
        <v>2.85</v>
      </c>
      <c r="E656" s="4">
        <v>23</v>
      </c>
      <c r="F656" s="8">
        <v>4.68</v>
      </c>
      <c r="G656" s="4">
        <v>1</v>
      </c>
      <c r="H656" s="8">
        <v>0.28999999999999998</v>
      </c>
      <c r="I656" s="4">
        <v>0</v>
      </c>
    </row>
    <row r="657" spans="1:9" x14ac:dyDescent="0.2">
      <c r="A657" s="2">
        <v>6</v>
      </c>
      <c r="B657" s="1" t="s">
        <v>172</v>
      </c>
      <c r="C657" s="4">
        <v>19</v>
      </c>
      <c r="D657" s="8">
        <v>2.25</v>
      </c>
      <c r="E657" s="4">
        <v>19</v>
      </c>
      <c r="F657" s="8">
        <v>3.87</v>
      </c>
      <c r="G657" s="4">
        <v>0</v>
      </c>
      <c r="H657" s="8">
        <v>0</v>
      </c>
      <c r="I657" s="4">
        <v>0</v>
      </c>
    </row>
    <row r="658" spans="1:9" x14ac:dyDescent="0.2">
      <c r="A658" s="2">
        <v>7</v>
      </c>
      <c r="B658" s="1" t="s">
        <v>168</v>
      </c>
      <c r="C658" s="4">
        <v>18</v>
      </c>
      <c r="D658" s="8">
        <v>2.14</v>
      </c>
      <c r="E658" s="4">
        <v>18</v>
      </c>
      <c r="F658" s="8">
        <v>3.67</v>
      </c>
      <c r="G658" s="4">
        <v>0</v>
      </c>
      <c r="H658" s="8">
        <v>0</v>
      </c>
      <c r="I658" s="4">
        <v>0</v>
      </c>
    </row>
    <row r="659" spans="1:9" x14ac:dyDescent="0.2">
      <c r="A659" s="2">
        <v>7</v>
      </c>
      <c r="B659" s="1" t="s">
        <v>173</v>
      </c>
      <c r="C659" s="4">
        <v>18</v>
      </c>
      <c r="D659" s="8">
        <v>2.14</v>
      </c>
      <c r="E659" s="4">
        <v>16</v>
      </c>
      <c r="F659" s="8">
        <v>3.26</v>
      </c>
      <c r="G659" s="4">
        <v>2</v>
      </c>
      <c r="H659" s="8">
        <v>0.59</v>
      </c>
      <c r="I659" s="4">
        <v>0</v>
      </c>
    </row>
    <row r="660" spans="1:9" x14ac:dyDescent="0.2">
      <c r="A660" s="2">
        <v>9</v>
      </c>
      <c r="B660" s="1" t="s">
        <v>154</v>
      </c>
      <c r="C660" s="4">
        <v>17</v>
      </c>
      <c r="D660" s="8">
        <v>2.02</v>
      </c>
      <c r="E660" s="4">
        <v>5</v>
      </c>
      <c r="F660" s="8">
        <v>1.02</v>
      </c>
      <c r="G660" s="4">
        <v>12</v>
      </c>
      <c r="H660" s="8">
        <v>3.54</v>
      </c>
      <c r="I660" s="4">
        <v>0</v>
      </c>
    </row>
    <row r="661" spans="1:9" x14ac:dyDescent="0.2">
      <c r="A661" s="2">
        <v>9</v>
      </c>
      <c r="B661" s="1" t="s">
        <v>158</v>
      </c>
      <c r="C661" s="4">
        <v>17</v>
      </c>
      <c r="D661" s="8">
        <v>2.02</v>
      </c>
      <c r="E661" s="4">
        <v>11</v>
      </c>
      <c r="F661" s="8">
        <v>2.2400000000000002</v>
      </c>
      <c r="G661" s="4">
        <v>6</v>
      </c>
      <c r="H661" s="8">
        <v>1.77</v>
      </c>
      <c r="I661" s="4">
        <v>0</v>
      </c>
    </row>
    <row r="662" spans="1:9" x14ac:dyDescent="0.2">
      <c r="A662" s="2">
        <v>11</v>
      </c>
      <c r="B662" s="1" t="s">
        <v>159</v>
      </c>
      <c r="C662" s="4">
        <v>16</v>
      </c>
      <c r="D662" s="8">
        <v>1.9</v>
      </c>
      <c r="E662" s="4">
        <v>7</v>
      </c>
      <c r="F662" s="8">
        <v>1.43</v>
      </c>
      <c r="G662" s="4">
        <v>9</v>
      </c>
      <c r="H662" s="8">
        <v>2.65</v>
      </c>
      <c r="I662" s="4">
        <v>0</v>
      </c>
    </row>
    <row r="663" spans="1:9" x14ac:dyDescent="0.2">
      <c r="A663" s="2">
        <v>12</v>
      </c>
      <c r="B663" s="1" t="s">
        <v>166</v>
      </c>
      <c r="C663" s="4">
        <v>15</v>
      </c>
      <c r="D663" s="8">
        <v>1.78</v>
      </c>
      <c r="E663" s="4">
        <v>14</v>
      </c>
      <c r="F663" s="8">
        <v>2.85</v>
      </c>
      <c r="G663" s="4">
        <v>1</v>
      </c>
      <c r="H663" s="8">
        <v>0.28999999999999998</v>
      </c>
      <c r="I663" s="4">
        <v>0</v>
      </c>
    </row>
    <row r="664" spans="1:9" x14ac:dyDescent="0.2">
      <c r="A664" s="2">
        <v>12</v>
      </c>
      <c r="B664" s="1" t="s">
        <v>167</v>
      </c>
      <c r="C664" s="4">
        <v>15</v>
      </c>
      <c r="D664" s="8">
        <v>1.78</v>
      </c>
      <c r="E664" s="4">
        <v>15</v>
      </c>
      <c r="F664" s="8">
        <v>3.05</v>
      </c>
      <c r="G664" s="4">
        <v>0</v>
      </c>
      <c r="H664" s="8">
        <v>0</v>
      </c>
      <c r="I664" s="4">
        <v>0</v>
      </c>
    </row>
    <row r="665" spans="1:9" x14ac:dyDescent="0.2">
      <c r="A665" s="2">
        <v>14</v>
      </c>
      <c r="B665" s="1" t="s">
        <v>192</v>
      </c>
      <c r="C665" s="4">
        <v>14</v>
      </c>
      <c r="D665" s="8">
        <v>1.66</v>
      </c>
      <c r="E665" s="4">
        <v>4</v>
      </c>
      <c r="F665" s="8">
        <v>0.81</v>
      </c>
      <c r="G665" s="4">
        <v>10</v>
      </c>
      <c r="H665" s="8">
        <v>2.95</v>
      </c>
      <c r="I665" s="4">
        <v>0</v>
      </c>
    </row>
    <row r="666" spans="1:9" x14ac:dyDescent="0.2">
      <c r="A666" s="2">
        <v>14</v>
      </c>
      <c r="B666" s="1" t="s">
        <v>163</v>
      </c>
      <c r="C666" s="4">
        <v>14</v>
      </c>
      <c r="D666" s="8">
        <v>1.66</v>
      </c>
      <c r="E666" s="4">
        <v>6</v>
      </c>
      <c r="F666" s="8">
        <v>1.22</v>
      </c>
      <c r="G666" s="4">
        <v>8</v>
      </c>
      <c r="H666" s="8">
        <v>2.36</v>
      </c>
      <c r="I666" s="4">
        <v>0</v>
      </c>
    </row>
    <row r="667" spans="1:9" x14ac:dyDescent="0.2">
      <c r="A667" s="2">
        <v>14</v>
      </c>
      <c r="B667" s="1" t="s">
        <v>222</v>
      </c>
      <c r="C667" s="4">
        <v>14</v>
      </c>
      <c r="D667" s="8">
        <v>1.66</v>
      </c>
      <c r="E667" s="4">
        <v>9</v>
      </c>
      <c r="F667" s="8">
        <v>1.83</v>
      </c>
      <c r="G667" s="4">
        <v>5</v>
      </c>
      <c r="H667" s="8">
        <v>1.47</v>
      </c>
      <c r="I667" s="4">
        <v>0</v>
      </c>
    </row>
    <row r="668" spans="1:9" x14ac:dyDescent="0.2">
      <c r="A668" s="2">
        <v>17</v>
      </c>
      <c r="B668" s="1" t="s">
        <v>175</v>
      </c>
      <c r="C668" s="4">
        <v>13</v>
      </c>
      <c r="D668" s="8">
        <v>1.54</v>
      </c>
      <c r="E668" s="4">
        <v>11</v>
      </c>
      <c r="F668" s="8">
        <v>2.2400000000000002</v>
      </c>
      <c r="G668" s="4">
        <v>2</v>
      </c>
      <c r="H668" s="8">
        <v>0.59</v>
      </c>
      <c r="I668" s="4">
        <v>0</v>
      </c>
    </row>
    <row r="669" spans="1:9" x14ac:dyDescent="0.2">
      <c r="A669" s="2">
        <v>17</v>
      </c>
      <c r="B669" s="1" t="s">
        <v>182</v>
      </c>
      <c r="C669" s="4">
        <v>13</v>
      </c>
      <c r="D669" s="8">
        <v>1.54</v>
      </c>
      <c r="E669" s="4">
        <v>7</v>
      </c>
      <c r="F669" s="8">
        <v>1.43</v>
      </c>
      <c r="G669" s="4">
        <v>6</v>
      </c>
      <c r="H669" s="8">
        <v>1.77</v>
      </c>
      <c r="I669" s="4">
        <v>0</v>
      </c>
    </row>
    <row r="670" spans="1:9" x14ac:dyDescent="0.2">
      <c r="A670" s="2">
        <v>17</v>
      </c>
      <c r="B670" s="1" t="s">
        <v>220</v>
      </c>
      <c r="C670" s="4">
        <v>13</v>
      </c>
      <c r="D670" s="8">
        <v>1.54</v>
      </c>
      <c r="E670" s="4">
        <v>10</v>
      </c>
      <c r="F670" s="8">
        <v>2.04</v>
      </c>
      <c r="G670" s="4">
        <v>3</v>
      </c>
      <c r="H670" s="8">
        <v>0.88</v>
      </c>
      <c r="I670" s="4">
        <v>0</v>
      </c>
    </row>
    <row r="671" spans="1:9" x14ac:dyDescent="0.2">
      <c r="A671" s="2">
        <v>20</v>
      </c>
      <c r="B671" s="1" t="s">
        <v>161</v>
      </c>
      <c r="C671" s="4">
        <v>12</v>
      </c>
      <c r="D671" s="8">
        <v>1.42</v>
      </c>
      <c r="E671" s="4">
        <v>11</v>
      </c>
      <c r="F671" s="8">
        <v>2.2400000000000002</v>
      </c>
      <c r="G671" s="4">
        <v>1</v>
      </c>
      <c r="H671" s="8">
        <v>0.28999999999999998</v>
      </c>
      <c r="I671" s="4">
        <v>0</v>
      </c>
    </row>
    <row r="672" spans="1:9" x14ac:dyDescent="0.2">
      <c r="A672" s="2">
        <v>20</v>
      </c>
      <c r="B672" s="1" t="s">
        <v>179</v>
      </c>
      <c r="C672" s="4">
        <v>12</v>
      </c>
      <c r="D672" s="8">
        <v>1.42</v>
      </c>
      <c r="E672" s="4">
        <v>12</v>
      </c>
      <c r="F672" s="8">
        <v>2.44</v>
      </c>
      <c r="G672" s="4">
        <v>0</v>
      </c>
      <c r="H672" s="8">
        <v>0</v>
      </c>
      <c r="I672" s="4">
        <v>0</v>
      </c>
    </row>
    <row r="673" spans="1:9" x14ac:dyDescent="0.2">
      <c r="A673" s="1"/>
      <c r="C673" s="4"/>
      <c r="D673" s="8"/>
      <c r="E673" s="4"/>
      <c r="F673" s="8"/>
      <c r="G673" s="4"/>
      <c r="H673" s="8"/>
      <c r="I673" s="4"/>
    </row>
    <row r="674" spans="1:9" x14ac:dyDescent="0.2">
      <c r="A674" s="1" t="s">
        <v>30</v>
      </c>
      <c r="C674" s="4"/>
      <c r="D674" s="8"/>
      <c r="E674" s="4"/>
      <c r="F674" s="8"/>
      <c r="G674" s="4"/>
      <c r="H674" s="8"/>
      <c r="I674" s="4"/>
    </row>
    <row r="675" spans="1:9" x14ac:dyDescent="0.2">
      <c r="A675" s="2">
        <v>1</v>
      </c>
      <c r="B675" s="1" t="s">
        <v>170</v>
      </c>
      <c r="C675" s="4">
        <v>101</v>
      </c>
      <c r="D675" s="8">
        <v>5.79</v>
      </c>
      <c r="E675" s="4">
        <v>81</v>
      </c>
      <c r="F675" s="8">
        <v>10.14</v>
      </c>
      <c r="G675" s="4">
        <v>20</v>
      </c>
      <c r="H675" s="8">
        <v>2.16</v>
      </c>
      <c r="I675" s="4">
        <v>0</v>
      </c>
    </row>
    <row r="676" spans="1:9" x14ac:dyDescent="0.2">
      <c r="A676" s="2">
        <v>2</v>
      </c>
      <c r="B676" s="1" t="s">
        <v>164</v>
      </c>
      <c r="C676" s="4">
        <v>87</v>
      </c>
      <c r="D676" s="8">
        <v>4.99</v>
      </c>
      <c r="E676" s="4">
        <v>33</v>
      </c>
      <c r="F676" s="8">
        <v>4.13</v>
      </c>
      <c r="G676" s="4">
        <v>54</v>
      </c>
      <c r="H676" s="8">
        <v>5.82</v>
      </c>
      <c r="I676" s="4">
        <v>0</v>
      </c>
    </row>
    <row r="677" spans="1:9" x14ac:dyDescent="0.2">
      <c r="A677" s="2">
        <v>3</v>
      </c>
      <c r="B677" s="1" t="s">
        <v>167</v>
      </c>
      <c r="C677" s="4">
        <v>63</v>
      </c>
      <c r="D677" s="8">
        <v>3.61</v>
      </c>
      <c r="E677" s="4">
        <v>56</v>
      </c>
      <c r="F677" s="8">
        <v>7.01</v>
      </c>
      <c r="G677" s="4">
        <v>7</v>
      </c>
      <c r="H677" s="8">
        <v>0.75</v>
      </c>
      <c r="I677" s="4">
        <v>0</v>
      </c>
    </row>
    <row r="678" spans="1:9" x14ac:dyDescent="0.2">
      <c r="A678" s="2">
        <v>4</v>
      </c>
      <c r="B678" s="1" t="s">
        <v>168</v>
      </c>
      <c r="C678" s="4">
        <v>48</v>
      </c>
      <c r="D678" s="8">
        <v>2.75</v>
      </c>
      <c r="E678" s="4">
        <v>46</v>
      </c>
      <c r="F678" s="8">
        <v>5.76</v>
      </c>
      <c r="G678" s="4">
        <v>2</v>
      </c>
      <c r="H678" s="8">
        <v>0.22</v>
      </c>
      <c r="I678" s="4">
        <v>0</v>
      </c>
    </row>
    <row r="679" spans="1:9" x14ac:dyDescent="0.2">
      <c r="A679" s="2">
        <v>5</v>
      </c>
      <c r="B679" s="1" t="s">
        <v>154</v>
      </c>
      <c r="C679" s="4">
        <v>46</v>
      </c>
      <c r="D679" s="8">
        <v>2.64</v>
      </c>
      <c r="E679" s="4">
        <v>6</v>
      </c>
      <c r="F679" s="8">
        <v>0.75</v>
      </c>
      <c r="G679" s="4">
        <v>40</v>
      </c>
      <c r="H679" s="8">
        <v>4.3099999999999996</v>
      </c>
      <c r="I679" s="4">
        <v>0</v>
      </c>
    </row>
    <row r="680" spans="1:9" x14ac:dyDescent="0.2">
      <c r="A680" s="2">
        <v>5</v>
      </c>
      <c r="B680" s="1" t="s">
        <v>169</v>
      </c>
      <c r="C680" s="4">
        <v>46</v>
      </c>
      <c r="D680" s="8">
        <v>2.64</v>
      </c>
      <c r="E680" s="4">
        <v>45</v>
      </c>
      <c r="F680" s="8">
        <v>5.63</v>
      </c>
      <c r="G680" s="4">
        <v>1</v>
      </c>
      <c r="H680" s="8">
        <v>0.11</v>
      </c>
      <c r="I680" s="4">
        <v>0</v>
      </c>
    </row>
    <row r="681" spans="1:9" x14ac:dyDescent="0.2">
      <c r="A681" s="2">
        <v>7</v>
      </c>
      <c r="B681" s="1" t="s">
        <v>160</v>
      </c>
      <c r="C681" s="4">
        <v>42</v>
      </c>
      <c r="D681" s="8">
        <v>2.41</v>
      </c>
      <c r="E681" s="4">
        <v>11</v>
      </c>
      <c r="F681" s="8">
        <v>1.38</v>
      </c>
      <c r="G681" s="4">
        <v>31</v>
      </c>
      <c r="H681" s="8">
        <v>3.34</v>
      </c>
      <c r="I681" s="4">
        <v>0</v>
      </c>
    </row>
    <row r="682" spans="1:9" x14ac:dyDescent="0.2">
      <c r="A682" s="2">
        <v>8</v>
      </c>
      <c r="B682" s="1" t="s">
        <v>171</v>
      </c>
      <c r="C682" s="4">
        <v>40</v>
      </c>
      <c r="D682" s="8">
        <v>2.29</v>
      </c>
      <c r="E682" s="4">
        <v>27</v>
      </c>
      <c r="F682" s="8">
        <v>3.38</v>
      </c>
      <c r="G682" s="4">
        <v>13</v>
      </c>
      <c r="H682" s="8">
        <v>1.4</v>
      </c>
      <c r="I682" s="4">
        <v>0</v>
      </c>
    </row>
    <row r="683" spans="1:9" x14ac:dyDescent="0.2">
      <c r="A683" s="2">
        <v>8</v>
      </c>
      <c r="B683" s="1" t="s">
        <v>172</v>
      </c>
      <c r="C683" s="4">
        <v>40</v>
      </c>
      <c r="D683" s="8">
        <v>2.29</v>
      </c>
      <c r="E683" s="4">
        <v>35</v>
      </c>
      <c r="F683" s="8">
        <v>4.38</v>
      </c>
      <c r="G683" s="4">
        <v>5</v>
      </c>
      <c r="H683" s="8">
        <v>0.54</v>
      </c>
      <c r="I683" s="4">
        <v>0</v>
      </c>
    </row>
    <row r="684" spans="1:9" x14ac:dyDescent="0.2">
      <c r="A684" s="2">
        <v>10</v>
      </c>
      <c r="B684" s="1" t="s">
        <v>159</v>
      </c>
      <c r="C684" s="4">
        <v>38</v>
      </c>
      <c r="D684" s="8">
        <v>2.1800000000000002</v>
      </c>
      <c r="E684" s="4">
        <v>25</v>
      </c>
      <c r="F684" s="8">
        <v>3.13</v>
      </c>
      <c r="G684" s="4">
        <v>13</v>
      </c>
      <c r="H684" s="8">
        <v>1.4</v>
      </c>
      <c r="I684" s="4">
        <v>0</v>
      </c>
    </row>
    <row r="685" spans="1:9" x14ac:dyDescent="0.2">
      <c r="A685" s="2">
        <v>11</v>
      </c>
      <c r="B685" s="1" t="s">
        <v>174</v>
      </c>
      <c r="C685" s="4">
        <v>36</v>
      </c>
      <c r="D685" s="8">
        <v>2.0699999999999998</v>
      </c>
      <c r="E685" s="4">
        <v>7</v>
      </c>
      <c r="F685" s="8">
        <v>0.88</v>
      </c>
      <c r="G685" s="4">
        <v>29</v>
      </c>
      <c r="H685" s="8">
        <v>3.13</v>
      </c>
      <c r="I685" s="4">
        <v>0</v>
      </c>
    </row>
    <row r="686" spans="1:9" x14ac:dyDescent="0.2">
      <c r="A686" s="2">
        <v>12</v>
      </c>
      <c r="B686" s="1" t="s">
        <v>158</v>
      </c>
      <c r="C686" s="4">
        <v>34</v>
      </c>
      <c r="D686" s="8">
        <v>1.95</v>
      </c>
      <c r="E686" s="4">
        <v>21</v>
      </c>
      <c r="F686" s="8">
        <v>2.63</v>
      </c>
      <c r="G686" s="4">
        <v>13</v>
      </c>
      <c r="H686" s="8">
        <v>1.4</v>
      </c>
      <c r="I686" s="4">
        <v>0</v>
      </c>
    </row>
    <row r="687" spans="1:9" x14ac:dyDescent="0.2">
      <c r="A687" s="2">
        <v>13</v>
      </c>
      <c r="B687" s="1" t="s">
        <v>163</v>
      </c>
      <c r="C687" s="4">
        <v>33</v>
      </c>
      <c r="D687" s="8">
        <v>1.89</v>
      </c>
      <c r="E687" s="4">
        <v>7</v>
      </c>
      <c r="F687" s="8">
        <v>0.88</v>
      </c>
      <c r="G687" s="4">
        <v>26</v>
      </c>
      <c r="H687" s="8">
        <v>2.8</v>
      </c>
      <c r="I687" s="4">
        <v>0</v>
      </c>
    </row>
    <row r="688" spans="1:9" x14ac:dyDescent="0.2">
      <c r="A688" s="2">
        <v>14</v>
      </c>
      <c r="B688" s="1" t="s">
        <v>161</v>
      </c>
      <c r="C688" s="4">
        <v>29</v>
      </c>
      <c r="D688" s="8">
        <v>1.66</v>
      </c>
      <c r="E688" s="4">
        <v>16</v>
      </c>
      <c r="F688" s="8">
        <v>2</v>
      </c>
      <c r="G688" s="4">
        <v>13</v>
      </c>
      <c r="H688" s="8">
        <v>1.4</v>
      </c>
      <c r="I688" s="4">
        <v>0</v>
      </c>
    </row>
    <row r="689" spans="1:9" x14ac:dyDescent="0.2">
      <c r="A689" s="2">
        <v>14</v>
      </c>
      <c r="B689" s="1" t="s">
        <v>165</v>
      </c>
      <c r="C689" s="4">
        <v>29</v>
      </c>
      <c r="D689" s="8">
        <v>1.66</v>
      </c>
      <c r="E689" s="4">
        <v>9</v>
      </c>
      <c r="F689" s="8">
        <v>1.1299999999999999</v>
      </c>
      <c r="G689" s="4">
        <v>20</v>
      </c>
      <c r="H689" s="8">
        <v>2.16</v>
      </c>
      <c r="I689" s="4">
        <v>0</v>
      </c>
    </row>
    <row r="690" spans="1:9" x14ac:dyDescent="0.2">
      <c r="A690" s="2">
        <v>16</v>
      </c>
      <c r="B690" s="1" t="s">
        <v>186</v>
      </c>
      <c r="C690" s="4">
        <v>28</v>
      </c>
      <c r="D690" s="8">
        <v>1.61</v>
      </c>
      <c r="E690" s="4">
        <v>11</v>
      </c>
      <c r="F690" s="8">
        <v>1.38</v>
      </c>
      <c r="G690" s="4">
        <v>17</v>
      </c>
      <c r="H690" s="8">
        <v>1.83</v>
      </c>
      <c r="I690" s="4">
        <v>0</v>
      </c>
    </row>
    <row r="691" spans="1:9" x14ac:dyDescent="0.2">
      <c r="A691" s="2">
        <v>16</v>
      </c>
      <c r="B691" s="1" t="s">
        <v>156</v>
      </c>
      <c r="C691" s="4">
        <v>28</v>
      </c>
      <c r="D691" s="8">
        <v>1.61</v>
      </c>
      <c r="E691" s="4">
        <v>11</v>
      </c>
      <c r="F691" s="8">
        <v>1.38</v>
      </c>
      <c r="G691" s="4">
        <v>17</v>
      </c>
      <c r="H691" s="8">
        <v>1.83</v>
      </c>
      <c r="I691" s="4">
        <v>0</v>
      </c>
    </row>
    <row r="692" spans="1:9" x14ac:dyDescent="0.2">
      <c r="A692" s="2">
        <v>16</v>
      </c>
      <c r="B692" s="1" t="s">
        <v>157</v>
      </c>
      <c r="C692" s="4">
        <v>28</v>
      </c>
      <c r="D692" s="8">
        <v>1.61</v>
      </c>
      <c r="E692" s="4">
        <v>9</v>
      </c>
      <c r="F692" s="8">
        <v>1.1299999999999999</v>
      </c>
      <c r="G692" s="4">
        <v>19</v>
      </c>
      <c r="H692" s="8">
        <v>2.0499999999999998</v>
      </c>
      <c r="I692" s="4">
        <v>0</v>
      </c>
    </row>
    <row r="693" spans="1:9" x14ac:dyDescent="0.2">
      <c r="A693" s="2">
        <v>19</v>
      </c>
      <c r="B693" s="1" t="s">
        <v>182</v>
      </c>
      <c r="C693" s="4">
        <v>26</v>
      </c>
      <c r="D693" s="8">
        <v>1.49</v>
      </c>
      <c r="E693" s="4">
        <v>10</v>
      </c>
      <c r="F693" s="8">
        <v>1.25</v>
      </c>
      <c r="G693" s="4">
        <v>16</v>
      </c>
      <c r="H693" s="8">
        <v>1.72</v>
      </c>
      <c r="I693" s="4">
        <v>0</v>
      </c>
    </row>
    <row r="694" spans="1:9" x14ac:dyDescent="0.2">
      <c r="A694" s="2">
        <v>20</v>
      </c>
      <c r="B694" s="1" t="s">
        <v>177</v>
      </c>
      <c r="C694" s="4">
        <v>24</v>
      </c>
      <c r="D694" s="8">
        <v>1.38</v>
      </c>
      <c r="E694" s="4">
        <v>14</v>
      </c>
      <c r="F694" s="8">
        <v>1.75</v>
      </c>
      <c r="G694" s="4">
        <v>10</v>
      </c>
      <c r="H694" s="8">
        <v>1.08</v>
      </c>
      <c r="I694" s="4">
        <v>0</v>
      </c>
    </row>
    <row r="695" spans="1:9" x14ac:dyDescent="0.2">
      <c r="A695" s="1"/>
      <c r="C695" s="4"/>
      <c r="D695" s="8"/>
      <c r="E695" s="4"/>
      <c r="F695" s="8"/>
      <c r="G695" s="4"/>
      <c r="H695" s="8"/>
      <c r="I695" s="4"/>
    </row>
    <row r="696" spans="1:9" x14ac:dyDescent="0.2">
      <c r="A696" s="1" t="s">
        <v>31</v>
      </c>
      <c r="C696" s="4"/>
      <c r="D696" s="8"/>
      <c r="E696" s="4"/>
      <c r="F696" s="8"/>
      <c r="G696" s="4"/>
      <c r="H696" s="8"/>
      <c r="I696" s="4"/>
    </row>
    <row r="697" spans="1:9" x14ac:dyDescent="0.2">
      <c r="A697" s="2">
        <v>1</v>
      </c>
      <c r="B697" s="1" t="s">
        <v>164</v>
      </c>
      <c r="C697" s="4">
        <v>129</v>
      </c>
      <c r="D697" s="8">
        <v>6.62</v>
      </c>
      <c r="E697" s="4">
        <v>62</v>
      </c>
      <c r="F697" s="8">
        <v>6.47</v>
      </c>
      <c r="G697" s="4">
        <v>67</v>
      </c>
      <c r="H697" s="8">
        <v>6.94</v>
      </c>
      <c r="I697" s="4">
        <v>0</v>
      </c>
    </row>
    <row r="698" spans="1:9" x14ac:dyDescent="0.2">
      <c r="A698" s="2">
        <v>2</v>
      </c>
      <c r="B698" s="1" t="s">
        <v>170</v>
      </c>
      <c r="C698" s="4">
        <v>95</v>
      </c>
      <c r="D698" s="8">
        <v>4.87</v>
      </c>
      <c r="E698" s="4">
        <v>87</v>
      </c>
      <c r="F698" s="8">
        <v>9.08</v>
      </c>
      <c r="G698" s="4">
        <v>8</v>
      </c>
      <c r="H698" s="8">
        <v>0.83</v>
      </c>
      <c r="I698" s="4">
        <v>0</v>
      </c>
    </row>
    <row r="699" spans="1:9" x14ac:dyDescent="0.2">
      <c r="A699" s="2">
        <v>3</v>
      </c>
      <c r="B699" s="1" t="s">
        <v>169</v>
      </c>
      <c r="C699" s="4">
        <v>71</v>
      </c>
      <c r="D699" s="8">
        <v>3.64</v>
      </c>
      <c r="E699" s="4">
        <v>68</v>
      </c>
      <c r="F699" s="8">
        <v>7.1</v>
      </c>
      <c r="G699" s="4">
        <v>3</v>
      </c>
      <c r="H699" s="8">
        <v>0.31</v>
      </c>
      <c r="I699" s="4">
        <v>0</v>
      </c>
    </row>
    <row r="700" spans="1:9" x14ac:dyDescent="0.2">
      <c r="A700" s="2">
        <v>4</v>
      </c>
      <c r="B700" s="1" t="s">
        <v>171</v>
      </c>
      <c r="C700" s="4">
        <v>61</v>
      </c>
      <c r="D700" s="8">
        <v>3.13</v>
      </c>
      <c r="E700" s="4">
        <v>51</v>
      </c>
      <c r="F700" s="8">
        <v>5.32</v>
      </c>
      <c r="G700" s="4">
        <v>10</v>
      </c>
      <c r="H700" s="8">
        <v>1.04</v>
      </c>
      <c r="I700" s="4">
        <v>0</v>
      </c>
    </row>
    <row r="701" spans="1:9" x14ac:dyDescent="0.2">
      <c r="A701" s="2">
        <v>5</v>
      </c>
      <c r="B701" s="1" t="s">
        <v>167</v>
      </c>
      <c r="C701" s="4">
        <v>53</v>
      </c>
      <c r="D701" s="8">
        <v>2.72</v>
      </c>
      <c r="E701" s="4">
        <v>50</v>
      </c>
      <c r="F701" s="8">
        <v>5.22</v>
      </c>
      <c r="G701" s="4">
        <v>3</v>
      </c>
      <c r="H701" s="8">
        <v>0.31</v>
      </c>
      <c r="I701" s="4">
        <v>0</v>
      </c>
    </row>
    <row r="702" spans="1:9" x14ac:dyDescent="0.2">
      <c r="A702" s="2">
        <v>6</v>
      </c>
      <c r="B702" s="1" t="s">
        <v>156</v>
      </c>
      <c r="C702" s="4">
        <v>47</v>
      </c>
      <c r="D702" s="8">
        <v>2.41</v>
      </c>
      <c r="E702" s="4">
        <v>8</v>
      </c>
      <c r="F702" s="8">
        <v>0.84</v>
      </c>
      <c r="G702" s="4">
        <v>39</v>
      </c>
      <c r="H702" s="8">
        <v>4.04</v>
      </c>
      <c r="I702" s="4">
        <v>0</v>
      </c>
    </row>
    <row r="703" spans="1:9" x14ac:dyDescent="0.2">
      <c r="A703" s="2">
        <v>7</v>
      </c>
      <c r="B703" s="1" t="s">
        <v>166</v>
      </c>
      <c r="C703" s="4">
        <v>46</v>
      </c>
      <c r="D703" s="8">
        <v>2.36</v>
      </c>
      <c r="E703" s="4">
        <v>41</v>
      </c>
      <c r="F703" s="8">
        <v>4.28</v>
      </c>
      <c r="G703" s="4">
        <v>5</v>
      </c>
      <c r="H703" s="8">
        <v>0.52</v>
      </c>
      <c r="I703" s="4">
        <v>0</v>
      </c>
    </row>
    <row r="704" spans="1:9" x14ac:dyDescent="0.2">
      <c r="A704" s="2">
        <v>8</v>
      </c>
      <c r="B704" s="1" t="s">
        <v>159</v>
      </c>
      <c r="C704" s="4">
        <v>42</v>
      </c>
      <c r="D704" s="8">
        <v>2.15</v>
      </c>
      <c r="E704" s="4">
        <v>32</v>
      </c>
      <c r="F704" s="8">
        <v>3.34</v>
      </c>
      <c r="G704" s="4">
        <v>10</v>
      </c>
      <c r="H704" s="8">
        <v>1.04</v>
      </c>
      <c r="I704" s="4">
        <v>0</v>
      </c>
    </row>
    <row r="705" spans="1:9" x14ac:dyDescent="0.2">
      <c r="A705" s="2">
        <v>9</v>
      </c>
      <c r="B705" s="1" t="s">
        <v>168</v>
      </c>
      <c r="C705" s="4">
        <v>39</v>
      </c>
      <c r="D705" s="8">
        <v>2</v>
      </c>
      <c r="E705" s="4">
        <v>38</v>
      </c>
      <c r="F705" s="8">
        <v>3.97</v>
      </c>
      <c r="G705" s="4">
        <v>1</v>
      </c>
      <c r="H705" s="8">
        <v>0.1</v>
      </c>
      <c r="I705" s="4">
        <v>0</v>
      </c>
    </row>
    <row r="706" spans="1:9" x14ac:dyDescent="0.2">
      <c r="A706" s="2">
        <v>10</v>
      </c>
      <c r="B706" s="1" t="s">
        <v>172</v>
      </c>
      <c r="C706" s="4">
        <v>37</v>
      </c>
      <c r="D706" s="8">
        <v>1.9</v>
      </c>
      <c r="E706" s="4">
        <v>32</v>
      </c>
      <c r="F706" s="8">
        <v>3.34</v>
      </c>
      <c r="G706" s="4">
        <v>5</v>
      </c>
      <c r="H706" s="8">
        <v>0.52</v>
      </c>
      <c r="I706" s="4">
        <v>0</v>
      </c>
    </row>
    <row r="707" spans="1:9" x14ac:dyDescent="0.2">
      <c r="A707" s="2">
        <v>11</v>
      </c>
      <c r="B707" s="1" t="s">
        <v>163</v>
      </c>
      <c r="C707" s="4">
        <v>36</v>
      </c>
      <c r="D707" s="8">
        <v>1.85</v>
      </c>
      <c r="E707" s="4">
        <v>12</v>
      </c>
      <c r="F707" s="8">
        <v>1.25</v>
      </c>
      <c r="G707" s="4">
        <v>24</v>
      </c>
      <c r="H707" s="8">
        <v>2.4900000000000002</v>
      </c>
      <c r="I707" s="4">
        <v>0</v>
      </c>
    </row>
    <row r="708" spans="1:9" x14ac:dyDescent="0.2">
      <c r="A708" s="2">
        <v>12</v>
      </c>
      <c r="B708" s="1" t="s">
        <v>155</v>
      </c>
      <c r="C708" s="4">
        <v>35</v>
      </c>
      <c r="D708" s="8">
        <v>1.79</v>
      </c>
      <c r="E708" s="4">
        <v>5</v>
      </c>
      <c r="F708" s="8">
        <v>0.52</v>
      </c>
      <c r="G708" s="4">
        <v>30</v>
      </c>
      <c r="H708" s="8">
        <v>3.11</v>
      </c>
      <c r="I708" s="4">
        <v>0</v>
      </c>
    </row>
    <row r="709" spans="1:9" x14ac:dyDescent="0.2">
      <c r="A709" s="2">
        <v>12</v>
      </c>
      <c r="B709" s="1" t="s">
        <v>182</v>
      </c>
      <c r="C709" s="4">
        <v>35</v>
      </c>
      <c r="D709" s="8">
        <v>1.79</v>
      </c>
      <c r="E709" s="4">
        <v>11</v>
      </c>
      <c r="F709" s="8">
        <v>1.1499999999999999</v>
      </c>
      <c r="G709" s="4">
        <v>24</v>
      </c>
      <c r="H709" s="8">
        <v>2.4900000000000002</v>
      </c>
      <c r="I709" s="4">
        <v>0</v>
      </c>
    </row>
    <row r="710" spans="1:9" x14ac:dyDescent="0.2">
      <c r="A710" s="2">
        <v>14</v>
      </c>
      <c r="B710" s="1" t="s">
        <v>165</v>
      </c>
      <c r="C710" s="4">
        <v>33</v>
      </c>
      <c r="D710" s="8">
        <v>1.69</v>
      </c>
      <c r="E710" s="4">
        <v>12</v>
      </c>
      <c r="F710" s="8">
        <v>1.25</v>
      </c>
      <c r="G710" s="4">
        <v>21</v>
      </c>
      <c r="H710" s="8">
        <v>2.1800000000000002</v>
      </c>
      <c r="I710" s="4">
        <v>0</v>
      </c>
    </row>
    <row r="711" spans="1:9" x14ac:dyDescent="0.2">
      <c r="A711" s="2">
        <v>15</v>
      </c>
      <c r="B711" s="1" t="s">
        <v>160</v>
      </c>
      <c r="C711" s="4">
        <v>30</v>
      </c>
      <c r="D711" s="8">
        <v>1.54</v>
      </c>
      <c r="E711" s="4">
        <v>5</v>
      </c>
      <c r="F711" s="8">
        <v>0.52</v>
      </c>
      <c r="G711" s="4">
        <v>25</v>
      </c>
      <c r="H711" s="8">
        <v>2.59</v>
      </c>
      <c r="I711" s="4">
        <v>0</v>
      </c>
    </row>
    <row r="712" spans="1:9" x14ac:dyDescent="0.2">
      <c r="A712" s="2">
        <v>16</v>
      </c>
      <c r="B712" s="1" t="s">
        <v>187</v>
      </c>
      <c r="C712" s="4">
        <v>28</v>
      </c>
      <c r="D712" s="8">
        <v>1.44</v>
      </c>
      <c r="E712" s="4">
        <v>9</v>
      </c>
      <c r="F712" s="8">
        <v>0.94</v>
      </c>
      <c r="G712" s="4">
        <v>19</v>
      </c>
      <c r="H712" s="8">
        <v>1.97</v>
      </c>
      <c r="I712" s="4">
        <v>0</v>
      </c>
    </row>
    <row r="713" spans="1:9" x14ac:dyDescent="0.2">
      <c r="A713" s="2">
        <v>16</v>
      </c>
      <c r="B713" s="1" t="s">
        <v>202</v>
      </c>
      <c r="C713" s="4">
        <v>28</v>
      </c>
      <c r="D713" s="8">
        <v>1.44</v>
      </c>
      <c r="E713" s="4">
        <v>7</v>
      </c>
      <c r="F713" s="8">
        <v>0.73</v>
      </c>
      <c r="G713" s="4">
        <v>21</v>
      </c>
      <c r="H713" s="8">
        <v>2.1800000000000002</v>
      </c>
      <c r="I713" s="4">
        <v>0</v>
      </c>
    </row>
    <row r="714" spans="1:9" x14ac:dyDescent="0.2">
      <c r="A714" s="2">
        <v>16</v>
      </c>
      <c r="B714" s="1" t="s">
        <v>174</v>
      </c>
      <c r="C714" s="4">
        <v>28</v>
      </c>
      <c r="D714" s="8">
        <v>1.44</v>
      </c>
      <c r="E714" s="4">
        <v>8</v>
      </c>
      <c r="F714" s="8">
        <v>0.84</v>
      </c>
      <c r="G714" s="4">
        <v>20</v>
      </c>
      <c r="H714" s="8">
        <v>2.0699999999999998</v>
      </c>
      <c r="I714" s="4">
        <v>0</v>
      </c>
    </row>
    <row r="715" spans="1:9" x14ac:dyDescent="0.2">
      <c r="A715" s="2">
        <v>16</v>
      </c>
      <c r="B715" s="1" t="s">
        <v>220</v>
      </c>
      <c r="C715" s="4">
        <v>28</v>
      </c>
      <c r="D715" s="8">
        <v>1.44</v>
      </c>
      <c r="E715" s="4">
        <v>18</v>
      </c>
      <c r="F715" s="8">
        <v>1.88</v>
      </c>
      <c r="G715" s="4">
        <v>10</v>
      </c>
      <c r="H715" s="8">
        <v>1.04</v>
      </c>
      <c r="I715" s="4">
        <v>0</v>
      </c>
    </row>
    <row r="716" spans="1:9" x14ac:dyDescent="0.2">
      <c r="A716" s="2">
        <v>20</v>
      </c>
      <c r="B716" s="1" t="s">
        <v>203</v>
      </c>
      <c r="C716" s="4">
        <v>27</v>
      </c>
      <c r="D716" s="8">
        <v>1.38</v>
      </c>
      <c r="E716" s="4">
        <v>5</v>
      </c>
      <c r="F716" s="8">
        <v>0.52</v>
      </c>
      <c r="G716" s="4">
        <v>22</v>
      </c>
      <c r="H716" s="8">
        <v>2.2799999999999998</v>
      </c>
      <c r="I716" s="4">
        <v>0</v>
      </c>
    </row>
    <row r="717" spans="1:9" x14ac:dyDescent="0.2">
      <c r="A717" s="2">
        <v>20</v>
      </c>
      <c r="B717" s="1" t="s">
        <v>161</v>
      </c>
      <c r="C717" s="4">
        <v>27</v>
      </c>
      <c r="D717" s="8">
        <v>1.38</v>
      </c>
      <c r="E717" s="4">
        <v>19</v>
      </c>
      <c r="F717" s="8">
        <v>1.98</v>
      </c>
      <c r="G717" s="4">
        <v>8</v>
      </c>
      <c r="H717" s="8">
        <v>0.83</v>
      </c>
      <c r="I717" s="4">
        <v>0</v>
      </c>
    </row>
    <row r="718" spans="1:9" x14ac:dyDescent="0.2">
      <c r="A718" s="1"/>
      <c r="C718" s="4"/>
      <c r="D718" s="8"/>
      <c r="E718" s="4"/>
      <c r="F718" s="8"/>
      <c r="G718" s="4"/>
      <c r="H718" s="8"/>
      <c r="I718" s="4"/>
    </row>
    <row r="719" spans="1:9" x14ac:dyDescent="0.2">
      <c r="A719" s="1" t="s">
        <v>32</v>
      </c>
      <c r="C719" s="4"/>
      <c r="D719" s="8"/>
      <c r="E719" s="4"/>
      <c r="F719" s="8"/>
      <c r="G719" s="4"/>
      <c r="H719" s="8"/>
      <c r="I719" s="4"/>
    </row>
    <row r="720" spans="1:9" x14ac:dyDescent="0.2">
      <c r="A720" s="2">
        <v>1</v>
      </c>
      <c r="B720" s="1" t="s">
        <v>164</v>
      </c>
      <c r="C720" s="4">
        <v>141</v>
      </c>
      <c r="D720" s="8">
        <v>6.41</v>
      </c>
      <c r="E720" s="4">
        <v>88</v>
      </c>
      <c r="F720" s="8">
        <v>10.06</v>
      </c>
      <c r="G720" s="4">
        <v>53</v>
      </c>
      <c r="H720" s="8">
        <v>4.09</v>
      </c>
      <c r="I720" s="4">
        <v>0</v>
      </c>
    </row>
    <row r="721" spans="1:9" x14ac:dyDescent="0.2">
      <c r="A721" s="2">
        <v>2</v>
      </c>
      <c r="B721" s="1" t="s">
        <v>170</v>
      </c>
      <c r="C721" s="4">
        <v>91</v>
      </c>
      <c r="D721" s="8">
        <v>4.1399999999999997</v>
      </c>
      <c r="E721" s="4">
        <v>78</v>
      </c>
      <c r="F721" s="8">
        <v>8.91</v>
      </c>
      <c r="G721" s="4">
        <v>13</v>
      </c>
      <c r="H721" s="8">
        <v>1</v>
      </c>
      <c r="I721" s="4">
        <v>0</v>
      </c>
    </row>
    <row r="722" spans="1:9" x14ac:dyDescent="0.2">
      <c r="A722" s="2">
        <v>3</v>
      </c>
      <c r="B722" s="1" t="s">
        <v>159</v>
      </c>
      <c r="C722" s="4">
        <v>71</v>
      </c>
      <c r="D722" s="8">
        <v>3.23</v>
      </c>
      <c r="E722" s="4">
        <v>41</v>
      </c>
      <c r="F722" s="8">
        <v>4.6900000000000004</v>
      </c>
      <c r="G722" s="4">
        <v>30</v>
      </c>
      <c r="H722" s="8">
        <v>2.31</v>
      </c>
      <c r="I722" s="4">
        <v>0</v>
      </c>
    </row>
    <row r="723" spans="1:9" x14ac:dyDescent="0.2">
      <c r="A723" s="2">
        <v>4</v>
      </c>
      <c r="B723" s="1" t="s">
        <v>184</v>
      </c>
      <c r="C723" s="4">
        <v>53</v>
      </c>
      <c r="D723" s="8">
        <v>2.41</v>
      </c>
      <c r="E723" s="4">
        <v>3</v>
      </c>
      <c r="F723" s="8">
        <v>0.34</v>
      </c>
      <c r="G723" s="4">
        <v>50</v>
      </c>
      <c r="H723" s="8">
        <v>3.86</v>
      </c>
      <c r="I723" s="4">
        <v>0</v>
      </c>
    </row>
    <row r="724" spans="1:9" x14ac:dyDescent="0.2">
      <c r="A724" s="2">
        <v>5</v>
      </c>
      <c r="B724" s="1" t="s">
        <v>173</v>
      </c>
      <c r="C724" s="4">
        <v>51</v>
      </c>
      <c r="D724" s="8">
        <v>2.3199999999999998</v>
      </c>
      <c r="E724" s="4">
        <v>34</v>
      </c>
      <c r="F724" s="8">
        <v>3.89</v>
      </c>
      <c r="G724" s="4">
        <v>17</v>
      </c>
      <c r="H724" s="8">
        <v>1.31</v>
      </c>
      <c r="I724" s="4">
        <v>0</v>
      </c>
    </row>
    <row r="725" spans="1:9" x14ac:dyDescent="0.2">
      <c r="A725" s="2">
        <v>6</v>
      </c>
      <c r="B725" s="1" t="s">
        <v>172</v>
      </c>
      <c r="C725" s="4">
        <v>47</v>
      </c>
      <c r="D725" s="8">
        <v>2.14</v>
      </c>
      <c r="E725" s="4">
        <v>42</v>
      </c>
      <c r="F725" s="8">
        <v>4.8</v>
      </c>
      <c r="G725" s="4">
        <v>5</v>
      </c>
      <c r="H725" s="8">
        <v>0.39</v>
      </c>
      <c r="I725" s="4">
        <v>0</v>
      </c>
    </row>
    <row r="726" spans="1:9" x14ac:dyDescent="0.2">
      <c r="A726" s="2">
        <v>7</v>
      </c>
      <c r="B726" s="1" t="s">
        <v>155</v>
      </c>
      <c r="C726" s="4">
        <v>44</v>
      </c>
      <c r="D726" s="8">
        <v>2</v>
      </c>
      <c r="E726" s="4">
        <v>5</v>
      </c>
      <c r="F726" s="8">
        <v>0.56999999999999995</v>
      </c>
      <c r="G726" s="4">
        <v>39</v>
      </c>
      <c r="H726" s="8">
        <v>3.01</v>
      </c>
      <c r="I726" s="4">
        <v>0</v>
      </c>
    </row>
    <row r="727" spans="1:9" x14ac:dyDescent="0.2">
      <c r="A727" s="2">
        <v>7</v>
      </c>
      <c r="B727" s="1" t="s">
        <v>169</v>
      </c>
      <c r="C727" s="4">
        <v>44</v>
      </c>
      <c r="D727" s="8">
        <v>2</v>
      </c>
      <c r="E727" s="4">
        <v>40</v>
      </c>
      <c r="F727" s="8">
        <v>4.57</v>
      </c>
      <c r="G727" s="4">
        <v>4</v>
      </c>
      <c r="H727" s="8">
        <v>0.31</v>
      </c>
      <c r="I727" s="4">
        <v>0</v>
      </c>
    </row>
    <row r="728" spans="1:9" x14ac:dyDescent="0.2">
      <c r="A728" s="2">
        <v>9</v>
      </c>
      <c r="B728" s="1" t="s">
        <v>154</v>
      </c>
      <c r="C728" s="4">
        <v>43</v>
      </c>
      <c r="D728" s="8">
        <v>1.95</v>
      </c>
      <c r="E728" s="4">
        <v>5</v>
      </c>
      <c r="F728" s="8">
        <v>0.56999999999999995</v>
      </c>
      <c r="G728" s="4">
        <v>38</v>
      </c>
      <c r="H728" s="8">
        <v>2.93</v>
      </c>
      <c r="I728" s="4">
        <v>0</v>
      </c>
    </row>
    <row r="729" spans="1:9" x14ac:dyDescent="0.2">
      <c r="A729" s="2">
        <v>9</v>
      </c>
      <c r="B729" s="1" t="s">
        <v>163</v>
      </c>
      <c r="C729" s="4">
        <v>43</v>
      </c>
      <c r="D729" s="8">
        <v>1.95</v>
      </c>
      <c r="E729" s="4">
        <v>14</v>
      </c>
      <c r="F729" s="8">
        <v>1.6</v>
      </c>
      <c r="G729" s="4">
        <v>29</v>
      </c>
      <c r="H729" s="8">
        <v>2.2400000000000002</v>
      </c>
      <c r="I729" s="4">
        <v>0</v>
      </c>
    </row>
    <row r="730" spans="1:9" x14ac:dyDescent="0.2">
      <c r="A730" s="2">
        <v>11</v>
      </c>
      <c r="B730" s="1" t="s">
        <v>180</v>
      </c>
      <c r="C730" s="4">
        <v>41</v>
      </c>
      <c r="D730" s="8">
        <v>1.86</v>
      </c>
      <c r="E730" s="4">
        <v>10</v>
      </c>
      <c r="F730" s="8">
        <v>1.1399999999999999</v>
      </c>
      <c r="G730" s="4">
        <v>31</v>
      </c>
      <c r="H730" s="8">
        <v>2.39</v>
      </c>
      <c r="I730" s="4">
        <v>0</v>
      </c>
    </row>
    <row r="731" spans="1:9" x14ac:dyDescent="0.2">
      <c r="A731" s="2">
        <v>11</v>
      </c>
      <c r="B731" s="1" t="s">
        <v>171</v>
      </c>
      <c r="C731" s="4">
        <v>41</v>
      </c>
      <c r="D731" s="8">
        <v>1.86</v>
      </c>
      <c r="E731" s="4">
        <v>29</v>
      </c>
      <c r="F731" s="8">
        <v>3.31</v>
      </c>
      <c r="G731" s="4">
        <v>12</v>
      </c>
      <c r="H731" s="8">
        <v>0.93</v>
      </c>
      <c r="I731" s="4">
        <v>0</v>
      </c>
    </row>
    <row r="732" spans="1:9" x14ac:dyDescent="0.2">
      <c r="A732" s="2">
        <v>13</v>
      </c>
      <c r="B732" s="1" t="s">
        <v>156</v>
      </c>
      <c r="C732" s="4">
        <v>37</v>
      </c>
      <c r="D732" s="8">
        <v>1.68</v>
      </c>
      <c r="E732" s="4">
        <v>5</v>
      </c>
      <c r="F732" s="8">
        <v>0.56999999999999995</v>
      </c>
      <c r="G732" s="4">
        <v>32</v>
      </c>
      <c r="H732" s="8">
        <v>2.4700000000000002</v>
      </c>
      <c r="I732" s="4">
        <v>0</v>
      </c>
    </row>
    <row r="733" spans="1:9" x14ac:dyDescent="0.2">
      <c r="A733" s="2">
        <v>13</v>
      </c>
      <c r="B733" s="1" t="s">
        <v>167</v>
      </c>
      <c r="C733" s="4">
        <v>37</v>
      </c>
      <c r="D733" s="8">
        <v>1.68</v>
      </c>
      <c r="E733" s="4">
        <v>34</v>
      </c>
      <c r="F733" s="8">
        <v>3.89</v>
      </c>
      <c r="G733" s="4">
        <v>3</v>
      </c>
      <c r="H733" s="8">
        <v>0.23</v>
      </c>
      <c r="I733" s="4">
        <v>0</v>
      </c>
    </row>
    <row r="734" spans="1:9" x14ac:dyDescent="0.2">
      <c r="A734" s="2">
        <v>15</v>
      </c>
      <c r="B734" s="1" t="s">
        <v>160</v>
      </c>
      <c r="C734" s="4">
        <v>35</v>
      </c>
      <c r="D734" s="8">
        <v>1.59</v>
      </c>
      <c r="E734" s="4">
        <v>8</v>
      </c>
      <c r="F734" s="8">
        <v>0.91</v>
      </c>
      <c r="G734" s="4">
        <v>27</v>
      </c>
      <c r="H734" s="8">
        <v>2.08</v>
      </c>
      <c r="I734" s="4">
        <v>0</v>
      </c>
    </row>
    <row r="735" spans="1:9" x14ac:dyDescent="0.2">
      <c r="A735" s="2">
        <v>15</v>
      </c>
      <c r="B735" s="1" t="s">
        <v>165</v>
      </c>
      <c r="C735" s="4">
        <v>35</v>
      </c>
      <c r="D735" s="8">
        <v>1.59</v>
      </c>
      <c r="E735" s="4">
        <v>12</v>
      </c>
      <c r="F735" s="8">
        <v>1.37</v>
      </c>
      <c r="G735" s="4">
        <v>23</v>
      </c>
      <c r="H735" s="8">
        <v>1.77</v>
      </c>
      <c r="I735" s="4">
        <v>0</v>
      </c>
    </row>
    <row r="736" spans="1:9" x14ac:dyDescent="0.2">
      <c r="A736" s="2">
        <v>17</v>
      </c>
      <c r="B736" s="1" t="s">
        <v>182</v>
      </c>
      <c r="C736" s="4">
        <v>34</v>
      </c>
      <c r="D736" s="8">
        <v>1.55</v>
      </c>
      <c r="E736" s="4">
        <v>7</v>
      </c>
      <c r="F736" s="8">
        <v>0.8</v>
      </c>
      <c r="G736" s="4">
        <v>27</v>
      </c>
      <c r="H736" s="8">
        <v>2.08</v>
      </c>
      <c r="I736" s="4">
        <v>0</v>
      </c>
    </row>
    <row r="737" spans="1:9" x14ac:dyDescent="0.2">
      <c r="A737" s="2">
        <v>18</v>
      </c>
      <c r="B737" s="1" t="s">
        <v>203</v>
      </c>
      <c r="C737" s="4">
        <v>33</v>
      </c>
      <c r="D737" s="8">
        <v>1.5</v>
      </c>
      <c r="E737" s="4">
        <v>10</v>
      </c>
      <c r="F737" s="8">
        <v>1.1399999999999999</v>
      </c>
      <c r="G737" s="4">
        <v>23</v>
      </c>
      <c r="H737" s="8">
        <v>1.77</v>
      </c>
      <c r="I737" s="4">
        <v>0</v>
      </c>
    </row>
    <row r="738" spans="1:9" x14ac:dyDescent="0.2">
      <c r="A738" s="2">
        <v>19</v>
      </c>
      <c r="B738" s="1" t="s">
        <v>166</v>
      </c>
      <c r="C738" s="4">
        <v>31</v>
      </c>
      <c r="D738" s="8">
        <v>1.41</v>
      </c>
      <c r="E738" s="4">
        <v>27</v>
      </c>
      <c r="F738" s="8">
        <v>3.09</v>
      </c>
      <c r="G738" s="4">
        <v>4</v>
      </c>
      <c r="H738" s="8">
        <v>0.31</v>
      </c>
      <c r="I738" s="4">
        <v>0</v>
      </c>
    </row>
    <row r="739" spans="1:9" x14ac:dyDescent="0.2">
      <c r="A739" s="2">
        <v>20</v>
      </c>
      <c r="B739" s="1" t="s">
        <v>174</v>
      </c>
      <c r="C739" s="4">
        <v>30</v>
      </c>
      <c r="D739" s="8">
        <v>1.36</v>
      </c>
      <c r="E739" s="4">
        <v>5</v>
      </c>
      <c r="F739" s="8">
        <v>0.56999999999999995</v>
      </c>
      <c r="G739" s="4">
        <v>25</v>
      </c>
      <c r="H739" s="8">
        <v>1.93</v>
      </c>
      <c r="I739" s="4">
        <v>0</v>
      </c>
    </row>
    <row r="740" spans="1:9" x14ac:dyDescent="0.2">
      <c r="A740" s="2">
        <v>20</v>
      </c>
      <c r="B740" s="1" t="s">
        <v>162</v>
      </c>
      <c r="C740" s="4">
        <v>30</v>
      </c>
      <c r="D740" s="8">
        <v>1.36</v>
      </c>
      <c r="E740" s="4">
        <v>6</v>
      </c>
      <c r="F740" s="8">
        <v>0.69</v>
      </c>
      <c r="G740" s="4">
        <v>24</v>
      </c>
      <c r="H740" s="8">
        <v>1.85</v>
      </c>
      <c r="I740" s="4">
        <v>0</v>
      </c>
    </row>
    <row r="741" spans="1:9" x14ac:dyDescent="0.2">
      <c r="A741" s="1"/>
      <c r="C741" s="4"/>
      <c r="D741" s="8"/>
      <c r="E741" s="4"/>
      <c r="F741" s="8"/>
      <c r="G741" s="4"/>
      <c r="H741" s="8"/>
      <c r="I741" s="4"/>
    </row>
    <row r="742" spans="1:9" x14ac:dyDescent="0.2">
      <c r="A742" s="1" t="s">
        <v>33</v>
      </c>
      <c r="C742" s="4"/>
      <c r="D742" s="8"/>
      <c r="E742" s="4"/>
      <c r="F742" s="8"/>
      <c r="G742" s="4"/>
      <c r="H742" s="8"/>
      <c r="I742" s="4"/>
    </row>
    <row r="743" spans="1:9" x14ac:dyDescent="0.2">
      <c r="A743" s="2">
        <v>1</v>
      </c>
      <c r="B743" s="1" t="s">
        <v>170</v>
      </c>
      <c r="C743" s="4">
        <v>99</v>
      </c>
      <c r="D743" s="8">
        <v>7.15</v>
      </c>
      <c r="E743" s="4">
        <v>91</v>
      </c>
      <c r="F743" s="8">
        <v>12.28</v>
      </c>
      <c r="G743" s="4">
        <v>8</v>
      </c>
      <c r="H743" s="8">
        <v>1.25</v>
      </c>
      <c r="I743" s="4">
        <v>0</v>
      </c>
    </row>
    <row r="744" spans="1:9" x14ac:dyDescent="0.2">
      <c r="A744" s="2">
        <v>2</v>
      </c>
      <c r="B744" s="1" t="s">
        <v>154</v>
      </c>
      <c r="C744" s="4">
        <v>61</v>
      </c>
      <c r="D744" s="8">
        <v>4.41</v>
      </c>
      <c r="E744" s="4">
        <v>2</v>
      </c>
      <c r="F744" s="8">
        <v>0.27</v>
      </c>
      <c r="G744" s="4">
        <v>59</v>
      </c>
      <c r="H744" s="8">
        <v>9.23</v>
      </c>
      <c r="I744" s="4">
        <v>0</v>
      </c>
    </row>
    <row r="745" spans="1:9" x14ac:dyDescent="0.2">
      <c r="A745" s="2">
        <v>3</v>
      </c>
      <c r="B745" s="1" t="s">
        <v>169</v>
      </c>
      <c r="C745" s="4">
        <v>48</v>
      </c>
      <c r="D745" s="8">
        <v>3.47</v>
      </c>
      <c r="E745" s="4">
        <v>44</v>
      </c>
      <c r="F745" s="8">
        <v>5.94</v>
      </c>
      <c r="G745" s="4">
        <v>4</v>
      </c>
      <c r="H745" s="8">
        <v>0.63</v>
      </c>
      <c r="I745" s="4">
        <v>0</v>
      </c>
    </row>
    <row r="746" spans="1:9" x14ac:dyDescent="0.2">
      <c r="A746" s="2">
        <v>4</v>
      </c>
      <c r="B746" s="1" t="s">
        <v>164</v>
      </c>
      <c r="C746" s="4">
        <v>46</v>
      </c>
      <c r="D746" s="8">
        <v>3.32</v>
      </c>
      <c r="E746" s="4">
        <v>12</v>
      </c>
      <c r="F746" s="8">
        <v>1.62</v>
      </c>
      <c r="G746" s="4">
        <v>34</v>
      </c>
      <c r="H746" s="8">
        <v>5.32</v>
      </c>
      <c r="I746" s="4">
        <v>0</v>
      </c>
    </row>
    <row r="747" spans="1:9" x14ac:dyDescent="0.2">
      <c r="A747" s="2">
        <v>5</v>
      </c>
      <c r="B747" s="1" t="s">
        <v>172</v>
      </c>
      <c r="C747" s="4">
        <v>42</v>
      </c>
      <c r="D747" s="8">
        <v>3.03</v>
      </c>
      <c r="E747" s="4">
        <v>38</v>
      </c>
      <c r="F747" s="8">
        <v>5.13</v>
      </c>
      <c r="G747" s="4">
        <v>4</v>
      </c>
      <c r="H747" s="8">
        <v>0.63</v>
      </c>
      <c r="I747" s="4">
        <v>0</v>
      </c>
    </row>
    <row r="748" spans="1:9" x14ac:dyDescent="0.2">
      <c r="A748" s="2">
        <v>6</v>
      </c>
      <c r="B748" s="1" t="s">
        <v>166</v>
      </c>
      <c r="C748" s="4">
        <v>41</v>
      </c>
      <c r="D748" s="8">
        <v>2.96</v>
      </c>
      <c r="E748" s="4">
        <v>35</v>
      </c>
      <c r="F748" s="8">
        <v>4.72</v>
      </c>
      <c r="G748" s="4">
        <v>6</v>
      </c>
      <c r="H748" s="8">
        <v>0.94</v>
      </c>
      <c r="I748" s="4">
        <v>0</v>
      </c>
    </row>
    <row r="749" spans="1:9" x14ac:dyDescent="0.2">
      <c r="A749" s="2">
        <v>7</v>
      </c>
      <c r="B749" s="1" t="s">
        <v>173</v>
      </c>
      <c r="C749" s="4">
        <v>31</v>
      </c>
      <c r="D749" s="8">
        <v>2.2400000000000002</v>
      </c>
      <c r="E749" s="4">
        <v>25</v>
      </c>
      <c r="F749" s="8">
        <v>3.37</v>
      </c>
      <c r="G749" s="4">
        <v>6</v>
      </c>
      <c r="H749" s="8">
        <v>0.94</v>
      </c>
      <c r="I749" s="4">
        <v>0</v>
      </c>
    </row>
    <row r="750" spans="1:9" x14ac:dyDescent="0.2">
      <c r="A750" s="2">
        <v>8</v>
      </c>
      <c r="B750" s="1" t="s">
        <v>171</v>
      </c>
      <c r="C750" s="4">
        <v>29</v>
      </c>
      <c r="D750" s="8">
        <v>2.1</v>
      </c>
      <c r="E750" s="4">
        <v>23</v>
      </c>
      <c r="F750" s="8">
        <v>3.1</v>
      </c>
      <c r="G750" s="4">
        <v>6</v>
      </c>
      <c r="H750" s="8">
        <v>0.94</v>
      </c>
      <c r="I750" s="4">
        <v>0</v>
      </c>
    </row>
    <row r="751" spans="1:9" x14ac:dyDescent="0.2">
      <c r="A751" s="2">
        <v>9</v>
      </c>
      <c r="B751" s="1" t="s">
        <v>167</v>
      </c>
      <c r="C751" s="4">
        <v>27</v>
      </c>
      <c r="D751" s="8">
        <v>1.95</v>
      </c>
      <c r="E751" s="4">
        <v>24</v>
      </c>
      <c r="F751" s="8">
        <v>3.24</v>
      </c>
      <c r="G751" s="4">
        <v>3</v>
      </c>
      <c r="H751" s="8">
        <v>0.47</v>
      </c>
      <c r="I751" s="4">
        <v>0</v>
      </c>
    </row>
    <row r="752" spans="1:9" x14ac:dyDescent="0.2">
      <c r="A752" s="2">
        <v>10</v>
      </c>
      <c r="B752" s="1" t="s">
        <v>158</v>
      </c>
      <c r="C752" s="4">
        <v>26</v>
      </c>
      <c r="D752" s="8">
        <v>1.88</v>
      </c>
      <c r="E752" s="4">
        <v>18</v>
      </c>
      <c r="F752" s="8">
        <v>2.4300000000000002</v>
      </c>
      <c r="G752" s="4">
        <v>8</v>
      </c>
      <c r="H752" s="8">
        <v>1.25</v>
      </c>
      <c r="I752" s="4">
        <v>0</v>
      </c>
    </row>
    <row r="753" spans="1:9" x14ac:dyDescent="0.2">
      <c r="A753" s="2">
        <v>10</v>
      </c>
      <c r="B753" s="1" t="s">
        <v>162</v>
      </c>
      <c r="C753" s="4">
        <v>26</v>
      </c>
      <c r="D753" s="8">
        <v>1.88</v>
      </c>
      <c r="E753" s="4">
        <v>7</v>
      </c>
      <c r="F753" s="8">
        <v>0.94</v>
      </c>
      <c r="G753" s="4">
        <v>19</v>
      </c>
      <c r="H753" s="8">
        <v>2.97</v>
      </c>
      <c r="I753" s="4">
        <v>0</v>
      </c>
    </row>
    <row r="754" spans="1:9" x14ac:dyDescent="0.2">
      <c r="A754" s="2">
        <v>10</v>
      </c>
      <c r="B754" s="1" t="s">
        <v>179</v>
      </c>
      <c r="C754" s="4">
        <v>26</v>
      </c>
      <c r="D754" s="8">
        <v>1.88</v>
      </c>
      <c r="E754" s="4">
        <v>26</v>
      </c>
      <c r="F754" s="8">
        <v>3.51</v>
      </c>
      <c r="G754" s="4">
        <v>0</v>
      </c>
      <c r="H754" s="8">
        <v>0</v>
      </c>
      <c r="I754" s="4">
        <v>0</v>
      </c>
    </row>
    <row r="755" spans="1:9" x14ac:dyDescent="0.2">
      <c r="A755" s="2">
        <v>13</v>
      </c>
      <c r="B755" s="1" t="s">
        <v>161</v>
      </c>
      <c r="C755" s="4">
        <v>24</v>
      </c>
      <c r="D755" s="8">
        <v>1.73</v>
      </c>
      <c r="E755" s="4">
        <v>19</v>
      </c>
      <c r="F755" s="8">
        <v>2.56</v>
      </c>
      <c r="G755" s="4">
        <v>5</v>
      </c>
      <c r="H755" s="8">
        <v>0.78</v>
      </c>
      <c r="I755" s="4">
        <v>0</v>
      </c>
    </row>
    <row r="756" spans="1:9" x14ac:dyDescent="0.2">
      <c r="A756" s="2">
        <v>14</v>
      </c>
      <c r="B756" s="1" t="s">
        <v>155</v>
      </c>
      <c r="C756" s="4">
        <v>23</v>
      </c>
      <c r="D756" s="8">
        <v>1.66</v>
      </c>
      <c r="E756" s="4">
        <v>4</v>
      </c>
      <c r="F756" s="8">
        <v>0.54</v>
      </c>
      <c r="G756" s="4">
        <v>19</v>
      </c>
      <c r="H756" s="8">
        <v>2.97</v>
      </c>
      <c r="I756" s="4">
        <v>0</v>
      </c>
    </row>
    <row r="757" spans="1:9" x14ac:dyDescent="0.2">
      <c r="A757" s="2">
        <v>14</v>
      </c>
      <c r="B757" s="1" t="s">
        <v>160</v>
      </c>
      <c r="C757" s="4">
        <v>23</v>
      </c>
      <c r="D757" s="8">
        <v>1.66</v>
      </c>
      <c r="E757" s="4">
        <v>9</v>
      </c>
      <c r="F757" s="8">
        <v>1.21</v>
      </c>
      <c r="G757" s="4">
        <v>14</v>
      </c>
      <c r="H757" s="8">
        <v>2.19</v>
      </c>
      <c r="I757" s="4">
        <v>0</v>
      </c>
    </row>
    <row r="758" spans="1:9" x14ac:dyDescent="0.2">
      <c r="A758" s="2">
        <v>16</v>
      </c>
      <c r="B758" s="1" t="s">
        <v>186</v>
      </c>
      <c r="C758" s="4">
        <v>22</v>
      </c>
      <c r="D758" s="8">
        <v>1.59</v>
      </c>
      <c r="E758" s="4">
        <v>9</v>
      </c>
      <c r="F758" s="8">
        <v>1.21</v>
      </c>
      <c r="G758" s="4">
        <v>13</v>
      </c>
      <c r="H758" s="8">
        <v>2.0299999999999998</v>
      </c>
      <c r="I758" s="4">
        <v>0</v>
      </c>
    </row>
    <row r="759" spans="1:9" x14ac:dyDescent="0.2">
      <c r="A759" s="2">
        <v>17</v>
      </c>
      <c r="B759" s="1" t="s">
        <v>220</v>
      </c>
      <c r="C759" s="4">
        <v>19</v>
      </c>
      <c r="D759" s="8">
        <v>1.37</v>
      </c>
      <c r="E759" s="4">
        <v>11</v>
      </c>
      <c r="F759" s="8">
        <v>1.48</v>
      </c>
      <c r="G759" s="4">
        <v>8</v>
      </c>
      <c r="H759" s="8">
        <v>1.25</v>
      </c>
      <c r="I759" s="4">
        <v>0</v>
      </c>
    </row>
    <row r="760" spans="1:9" x14ac:dyDescent="0.2">
      <c r="A760" s="2">
        <v>18</v>
      </c>
      <c r="B760" s="1" t="s">
        <v>163</v>
      </c>
      <c r="C760" s="4">
        <v>18</v>
      </c>
      <c r="D760" s="8">
        <v>1.3</v>
      </c>
      <c r="E760" s="4">
        <v>2</v>
      </c>
      <c r="F760" s="8">
        <v>0.27</v>
      </c>
      <c r="G760" s="4">
        <v>16</v>
      </c>
      <c r="H760" s="8">
        <v>2.5</v>
      </c>
      <c r="I760" s="4">
        <v>0</v>
      </c>
    </row>
    <row r="761" spans="1:9" x14ac:dyDescent="0.2">
      <c r="A761" s="2">
        <v>18</v>
      </c>
      <c r="B761" s="1" t="s">
        <v>168</v>
      </c>
      <c r="C761" s="4">
        <v>18</v>
      </c>
      <c r="D761" s="8">
        <v>1.3</v>
      </c>
      <c r="E761" s="4">
        <v>18</v>
      </c>
      <c r="F761" s="8">
        <v>2.4300000000000002</v>
      </c>
      <c r="G761" s="4">
        <v>0</v>
      </c>
      <c r="H761" s="8">
        <v>0</v>
      </c>
      <c r="I761" s="4">
        <v>0</v>
      </c>
    </row>
    <row r="762" spans="1:9" x14ac:dyDescent="0.2">
      <c r="A762" s="2">
        <v>20</v>
      </c>
      <c r="B762" s="1" t="s">
        <v>157</v>
      </c>
      <c r="C762" s="4">
        <v>17</v>
      </c>
      <c r="D762" s="8">
        <v>1.23</v>
      </c>
      <c r="E762" s="4">
        <v>12</v>
      </c>
      <c r="F762" s="8">
        <v>1.62</v>
      </c>
      <c r="G762" s="4">
        <v>5</v>
      </c>
      <c r="H762" s="8">
        <v>0.78</v>
      </c>
      <c r="I762" s="4">
        <v>0</v>
      </c>
    </row>
    <row r="763" spans="1:9" x14ac:dyDescent="0.2">
      <c r="A763" s="2">
        <v>20</v>
      </c>
      <c r="B763" s="1" t="s">
        <v>182</v>
      </c>
      <c r="C763" s="4">
        <v>17</v>
      </c>
      <c r="D763" s="8">
        <v>1.23</v>
      </c>
      <c r="E763" s="4">
        <v>5</v>
      </c>
      <c r="F763" s="8">
        <v>0.67</v>
      </c>
      <c r="G763" s="4">
        <v>12</v>
      </c>
      <c r="H763" s="8">
        <v>1.88</v>
      </c>
      <c r="I763" s="4">
        <v>0</v>
      </c>
    </row>
    <row r="764" spans="1:9" x14ac:dyDescent="0.2">
      <c r="A764" s="1"/>
      <c r="C764" s="4"/>
      <c r="D764" s="8"/>
      <c r="E764" s="4"/>
      <c r="F764" s="8"/>
      <c r="G764" s="4"/>
      <c r="H764" s="8"/>
      <c r="I764" s="4"/>
    </row>
    <row r="765" spans="1:9" x14ac:dyDescent="0.2">
      <c r="A765" s="1" t="s">
        <v>34</v>
      </c>
      <c r="C765" s="4"/>
      <c r="D765" s="8"/>
      <c r="E765" s="4"/>
      <c r="F765" s="8"/>
      <c r="G765" s="4"/>
      <c r="H765" s="8"/>
      <c r="I765" s="4"/>
    </row>
    <row r="766" spans="1:9" x14ac:dyDescent="0.2">
      <c r="A766" s="2">
        <v>1</v>
      </c>
      <c r="B766" s="1" t="s">
        <v>170</v>
      </c>
      <c r="C766" s="4">
        <v>47</v>
      </c>
      <c r="D766" s="8">
        <v>4.2300000000000004</v>
      </c>
      <c r="E766" s="4">
        <v>42</v>
      </c>
      <c r="F766" s="8">
        <v>9.6300000000000008</v>
      </c>
      <c r="G766" s="4">
        <v>5</v>
      </c>
      <c r="H766" s="8">
        <v>0.75</v>
      </c>
      <c r="I766" s="4">
        <v>0</v>
      </c>
    </row>
    <row r="767" spans="1:9" x14ac:dyDescent="0.2">
      <c r="A767" s="2">
        <v>2</v>
      </c>
      <c r="B767" s="1" t="s">
        <v>164</v>
      </c>
      <c r="C767" s="4">
        <v>43</v>
      </c>
      <c r="D767" s="8">
        <v>3.87</v>
      </c>
      <c r="E767" s="4">
        <v>6</v>
      </c>
      <c r="F767" s="8">
        <v>1.38</v>
      </c>
      <c r="G767" s="4">
        <v>37</v>
      </c>
      <c r="H767" s="8">
        <v>5.54</v>
      </c>
      <c r="I767" s="4">
        <v>0</v>
      </c>
    </row>
    <row r="768" spans="1:9" x14ac:dyDescent="0.2">
      <c r="A768" s="2">
        <v>3</v>
      </c>
      <c r="B768" s="1" t="s">
        <v>159</v>
      </c>
      <c r="C768" s="4">
        <v>38</v>
      </c>
      <c r="D768" s="8">
        <v>3.42</v>
      </c>
      <c r="E768" s="4">
        <v>21</v>
      </c>
      <c r="F768" s="8">
        <v>4.82</v>
      </c>
      <c r="G768" s="4">
        <v>17</v>
      </c>
      <c r="H768" s="8">
        <v>2.54</v>
      </c>
      <c r="I768" s="4">
        <v>0</v>
      </c>
    </row>
    <row r="769" spans="1:9" x14ac:dyDescent="0.2">
      <c r="A769" s="2">
        <v>4</v>
      </c>
      <c r="B769" s="1" t="s">
        <v>172</v>
      </c>
      <c r="C769" s="4">
        <v>32</v>
      </c>
      <c r="D769" s="8">
        <v>2.88</v>
      </c>
      <c r="E769" s="4">
        <v>26</v>
      </c>
      <c r="F769" s="8">
        <v>5.96</v>
      </c>
      <c r="G769" s="4">
        <v>6</v>
      </c>
      <c r="H769" s="8">
        <v>0.9</v>
      </c>
      <c r="I769" s="4">
        <v>0</v>
      </c>
    </row>
    <row r="770" spans="1:9" x14ac:dyDescent="0.2">
      <c r="A770" s="2">
        <v>5</v>
      </c>
      <c r="B770" s="1" t="s">
        <v>158</v>
      </c>
      <c r="C770" s="4">
        <v>30</v>
      </c>
      <c r="D770" s="8">
        <v>2.7</v>
      </c>
      <c r="E770" s="4">
        <v>15</v>
      </c>
      <c r="F770" s="8">
        <v>3.44</v>
      </c>
      <c r="G770" s="4">
        <v>14</v>
      </c>
      <c r="H770" s="8">
        <v>2.1</v>
      </c>
      <c r="I770" s="4">
        <v>1</v>
      </c>
    </row>
    <row r="771" spans="1:9" x14ac:dyDescent="0.2">
      <c r="A771" s="2">
        <v>6</v>
      </c>
      <c r="B771" s="1" t="s">
        <v>154</v>
      </c>
      <c r="C771" s="4">
        <v>28</v>
      </c>
      <c r="D771" s="8">
        <v>2.52</v>
      </c>
      <c r="E771" s="4">
        <v>4</v>
      </c>
      <c r="F771" s="8">
        <v>0.92</v>
      </c>
      <c r="G771" s="4">
        <v>24</v>
      </c>
      <c r="H771" s="8">
        <v>3.59</v>
      </c>
      <c r="I771" s="4">
        <v>0</v>
      </c>
    </row>
    <row r="772" spans="1:9" x14ac:dyDescent="0.2">
      <c r="A772" s="2">
        <v>7</v>
      </c>
      <c r="B772" s="1" t="s">
        <v>169</v>
      </c>
      <c r="C772" s="4">
        <v>27</v>
      </c>
      <c r="D772" s="8">
        <v>2.4300000000000002</v>
      </c>
      <c r="E772" s="4">
        <v>24</v>
      </c>
      <c r="F772" s="8">
        <v>5.5</v>
      </c>
      <c r="G772" s="4">
        <v>3</v>
      </c>
      <c r="H772" s="8">
        <v>0.45</v>
      </c>
      <c r="I772" s="4">
        <v>0</v>
      </c>
    </row>
    <row r="773" spans="1:9" x14ac:dyDescent="0.2">
      <c r="A773" s="2">
        <v>8</v>
      </c>
      <c r="B773" s="1" t="s">
        <v>165</v>
      </c>
      <c r="C773" s="4">
        <v>26</v>
      </c>
      <c r="D773" s="8">
        <v>2.34</v>
      </c>
      <c r="E773" s="4">
        <v>7</v>
      </c>
      <c r="F773" s="8">
        <v>1.61</v>
      </c>
      <c r="G773" s="4">
        <v>19</v>
      </c>
      <c r="H773" s="8">
        <v>2.84</v>
      </c>
      <c r="I773" s="4">
        <v>0</v>
      </c>
    </row>
    <row r="774" spans="1:9" x14ac:dyDescent="0.2">
      <c r="A774" s="2">
        <v>8</v>
      </c>
      <c r="B774" s="1" t="s">
        <v>171</v>
      </c>
      <c r="C774" s="4">
        <v>26</v>
      </c>
      <c r="D774" s="8">
        <v>2.34</v>
      </c>
      <c r="E774" s="4">
        <v>22</v>
      </c>
      <c r="F774" s="8">
        <v>5.05</v>
      </c>
      <c r="G774" s="4">
        <v>4</v>
      </c>
      <c r="H774" s="8">
        <v>0.6</v>
      </c>
      <c r="I774" s="4">
        <v>0</v>
      </c>
    </row>
    <row r="775" spans="1:9" x14ac:dyDescent="0.2">
      <c r="A775" s="2">
        <v>10</v>
      </c>
      <c r="B775" s="1" t="s">
        <v>161</v>
      </c>
      <c r="C775" s="4">
        <v>25</v>
      </c>
      <c r="D775" s="8">
        <v>2.25</v>
      </c>
      <c r="E775" s="4">
        <v>16</v>
      </c>
      <c r="F775" s="8">
        <v>3.67</v>
      </c>
      <c r="G775" s="4">
        <v>9</v>
      </c>
      <c r="H775" s="8">
        <v>1.35</v>
      </c>
      <c r="I775" s="4">
        <v>0</v>
      </c>
    </row>
    <row r="776" spans="1:9" x14ac:dyDescent="0.2">
      <c r="A776" s="2">
        <v>11</v>
      </c>
      <c r="B776" s="1" t="s">
        <v>156</v>
      </c>
      <c r="C776" s="4">
        <v>21</v>
      </c>
      <c r="D776" s="8">
        <v>1.89</v>
      </c>
      <c r="E776" s="4">
        <v>3</v>
      </c>
      <c r="F776" s="8">
        <v>0.69</v>
      </c>
      <c r="G776" s="4">
        <v>18</v>
      </c>
      <c r="H776" s="8">
        <v>2.69</v>
      </c>
      <c r="I776" s="4">
        <v>0</v>
      </c>
    </row>
    <row r="777" spans="1:9" x14ac:dyDescent="0.2">
      <c r="A777" s="2">
        <v>11</v>
      </c>
      <c r="B777" s="1" t="s">
        <v>160</v>
      </c>
      <c r="C777" s="4">
        <v>21</v>
      </c>
      <c r="D777" s="8">
        <v>1.89</v>
      </c>
      <c r="E777" s="4">
        <v>4</v>
      </c>
      <c r="F777" s="8">
        <v>0.92</v>
      </c>
      <c r="G777" s="4">
        <v>17</v>
      </c>
      <c r="H777" s="8">
        <v>2.54</v>
      </c>
      <c r="I777" s="4">
        <v>0</v>
      </c>
    </row>
    <row r="778" spans="1:9" x14ac:dyDescent="0.2">
      <c r="A778" s="2">
        <v>13</v>
      </c>
      <c r="B778" s="1" t="s">
        <v>155</v>
      </c>
      <c r="C778" s="4">
        <v>20</v>
      </c>
      <c r="D778" s="8">
        <v>1.8</v>
      </c>
      <c r="E778" s="4">
        <v>3</v>
      </c>
      <c r="F778" s="8">
        <v>0.69</v>
      </c>
      <c r="G778" s="4">
        <v>17</v>
      </c>
      <c r="H778" s="8">
        <v>2.54</v>
      </c>
      <c r="I778" s="4">
        <v>0</v>
      </c>
    </row>
    <row r="779" spans="1:9" x14ac:dyDescent="0.2">
      <c r="A779" s="2">
        <v>13</v>
      </c>
      <c r="B779" s="1" t="s">
        <v>163</v>
      </c>
      <c r="C779" s="4">
        <v>20</v>
      </c>
      <c r="D779" s="8">
        <v>1.8</v>
      </c>
      <c r="E779" s="4">
        <v>1</v>
      </c>
      <c r="F779" s="8">
        <v>0.23</v>
      </c>
      <c r="G779" s="4">
        <v>19</v>
      </c>
      <c r="H779" s="8">
        <v>2.84</v>
      </c>
      <c r="I779" s="4">
        <v>0</v>
      </c>
    </row>
    <row r="780" spans="1:9" x14ac:dyDescent="0.2">
      <c r="A780" s="2">
        <v>15</v>
      </c>
      <c r="B780" s="1" t="s">
        <v>162</v>
      </c>
      <c r="C780" s="4">
        <v>19</v>
      </c>
      <c r="D780" s="8">
        <v>1.71</v>
      </c>
      <c r="E780" s="4">
        <v>7</v>
      </c>
      <c r="F780" s="8">
        <v>1.61</v>
      </c>
      <c r="G780" s="4">
        <v>12</v>
      </c>
      <c r="H780" s="8">
        <v>1.8</v>
      </c>
      <c r="I780" s="4">
        <v>0</v>
      </c>
    </row>
    <row r="781" spans="1:9" x14ac:dyDescent="0.2">
      <c r="A781" s="2">
        <v>16</v>
      </c>
      <c r="B781" s="1" t="s">
        <v>174</v>
      </c>
      <c r="C781" s="4">
        <v>18</v>
      </c>
      <c r="D781" s="8">
        <v>1.62</v>
      </c>
      <c r="E781" s="4">
        <v>5</v>
      </c>
      <c r="F781" s="8">
        <v>1.1499999999999999</v>
      </c>
      <c r="G781" s="4">
        <v>13</v>
      </c>
      <c r="H781" s="8">
        <v>1.95</v>
      </c>
      <c r="I781" s="4">
        <v>0</v>
      </c>
    </row>
    <row r="782" spans="1:9" x14ac:dyDescent="0.2">
      <c r="A782" s="2">
        <v>16</v>
      </c>
      <c r="B782" s="1" t="s">
        <v>185</v>
      </c>
      <c r="C782" s="4">
        <v>18</v>
      </c>
      <c r="D782" s="8">
        <v>1.62</v>
      </c>
      <c r="E782" s="4">
        <v>1</v>
      </c>
      <c r="F782" s="8">
        <v>0.23</v>
      </c>
      <c r="G782" s="4">
        <v>17</v>
      </c>
      <c r="H782" s="8">
        <v>2.54</v>
      </c>
      <c r="I782" s="4">
        <v>0</v>
      </c>
    </row>
    <row r="783" spans="1:9" x14ac:dyDescent="0.2">
      <c r="A783" s="2">
        <v>16</v>
      </c>
      <c r="B783" s="1" t="s">
        <v>182</v>
      </c>
      <c r="C783" s="4">
        <v>18</v>
      </c>
      <c r="D783" s="8">
        <v>1.62</v>
      </c>
      <c r="E783" s="4">
        <v>5</v>
      </c>
      <c r="F783" s="8">
        <v>1.1499999999999999</v>
      </c>
      <c r="G783" s="4">
        <v>13</v>
      </c>
      <c r="H783" s="8">
        <v>1.95</v>
      </c>
      <c r="I783" s="4">
        <v>0</v>
      </c>
    </row>
    <row r="784" spans="1:9" x14ac:dyDescent="0.2">
      <c r="A784" s="2">
        <v>19</v>
      </c>
      <c r="B784" s="1" t="s">
        <v>157</v>
      </c>
      <c r="C784" s="4">
        <v>17</v>
      </c>
      <c r="D784" s="8">
        <v>1.53</v>
      </c>
      <c r="E784" s="4">
        <v>8</v>
      </c>
      <c r="F784" s="8">
        <v>1.83</v>
      </c>
      <c r="G784" s="4">
        <v>9</v>
      </c>
      <c r="H784" s="8">
        <v>1.35</v>
      </c>
      <c r="I784" s="4">
        <v>0</v>
      </c>
    </row>
    <row r="785" spans="1:9" x14ac:dyDescent="0.2">
      <c r="A785" s="2">
        <v>19</v>
      </c>
      <c r="B785" s="1" t="s">
        <v>179</v>
      </c>
      <c r="C785" s="4">
        <v>17</v>
      </c>
      <c r="D785" s="8">
        <v>1.53</v>
      </c>
      <c r="E785" s="4">
        <v>15</v>
      </c>
      <c r="F785" s="8">
        <v>3.44</v>
      </c>
      <c r="G785" s="4">
        <v>2</v>
      </c>
      <c r="H785" s="8">
        <v>0.3</v>
      </c>
      <c r="I785" s="4">
        <v>0</v>
      </c>
    </row>
    <row r="786" spans="1:9" x14ac:dyDescent="0.2">
      <c r="A786" s="1"/>
      <c r="C786" s="4"/>
      <c r="D786" s="8"/>
      <c r="E786" s="4"/>
      <c r="F786" s="8"/>
      <c r="G786" s="4"/>
      <c r="H786" s="8"/>
      <c r="I786" s="4"/>
    </row>
    <row r="787" spans="1:9" x14ac:dyDescent="0.2">
      <c r="A787" s="1" t="s">
        <v>35</v>
      </c>
      <c r="C787" s="4"/>
      <c r="D787" s="8"/>
      <c r="E787" s="4"/>
      <c r="F787" s="8"/>
      <c r="G787" s="4"/>
      <c r="H787" s="8"/>
      <c r="I787" s="4"/>
    </row>
    <row r="788" spans="1:9" x14ac:dyDescent="0.2">
      <c r="A788" s="2">
        <v>1</v>
      </c>
      <c r="B788" s="1" t="s">
        <v>170</v>
      </c>
      <c r="C788" s="4">
        <v>55</v>
      </c>
      <c r="D788" s="8">
        <v>5.0999999999999996</v>
      </c>
      <c r="E788" s="4">
        <v>52</v>
      </c>
      <c r="F788" s="8">
        <v>9.61</v>
      </c>
      <c r="G788" s="4">
        <v>3</v>
      </c>
      <c r="H788" s="8">
        <v>0.56000000000000005</v>
      </c>
      <c r="I788" s="4">
        <v>0</v>
      </c>
    </row>
    <row r="789" spans="1:9" x14ac:dyDescent="0.2">
      <c r="A789" s="2">
        <v>2</v>
      </c>
      <c r="B789" s="1" t="s">
        <v>164</v>
      </c>
      <c r="C789" s="4">
        <v>40</v>
      </c>
      <c r="D789" s="8">
        <v>3.71</v>
      </c>
      <c r="E789" s="4">
        <v>28</v>
      </c>
      <c r="F789" s="8">
        <v>5.18</v>
      </c>
      <c r="G789" s="4">
        <v>12</v>
      </c>
      <c r="H789" s="8">
        <v>2.2599999999999998</v>
      </c>
      <c r="I789" s="4">
        <v>0</v>
      </c>
    </row>
    <row r="790" spans="1:9" x14ac:dyDescent="0.2">
      <c r="A790" s="2">
        <v>3</v>
      </c>
      <c r="B790" s="1" t="s">
        <v>159</v>
      </c>
      <c r="C790" s="4">
        <v>39</v>
      </c>
      <c r="D790" s="8">
        <v>3.62</v>
      </c>
      <c r="E790" s="4">
        <v>24</v>
      </c>
      <c r="F790" s="8">
        <v>4.4400000000000004</v>
      </c>
      <c r="G790" s="4">
        <v>15</v>
      </c>
      <c r="H790" s="8">
        <v>2.82</v>
      </c>
      <c r="I790" s="4">
        <v>0</v>
      </c>
    </row>
    <row r="791" spans="1:9" x14ac:dyDescent="0.2">
      <c r="A791" s="2">
        <v>4</v>
      </c>
      <c r="B791" s="1" t="s">
        <v>172</v>
      </c>
      <c r="C791" s="4">
        <v>30</v>
      </c>
      <c r="D791" s="8">
        <v>2.78</v>
      </c>
      <c r="E791" s="4">
        <v>29</v>
      </c>
      <c r="F791" s="8">
        <v>5.36</v>
      </c>
      <c r="G791" s="4">
        <v>1</v>
      </c>
      <c r="H791" s="8">
        <v>0.19</v>
      </c>
      <c r="I791" s="4">
        <v>0</v>
      </c>
    </row>
    <row r="792" spans="1:9" x14ac:dyDescent="0.2">
      <c r="A792" s="2">
        <v>5</v>
      </c>
      <c r="B792" s="1" t="s">
        <v>169</v>
      </c>
      <c r="C792" s="4">
        <v>28</v>
      </c>
      <c r="D792" s="8">
        <v>2.6</v>
      </c>
      <c r="E792" s="4">
        <v>26</v>
      </c>
      <c r="F792" s="8">
        <v>4.8099999999999996</v>
      </c>
      <c r="G792" s="4">
        <v>2</v>
      </c>
      <c r="H792" s="8">
        <v>0.38</v>
      </c>
      <c r="I792" s="4">
        <v>0</v>
      </c>
    </row>
    <row r="793" spans="1:9" x14ac:dyDescent="0.2">
      <c r="A793" s="2">
        <v>6</v>
      </c>
      <c r="B793" s="1" t="s">
        <v>167</v>
      </c>
      <c r="C793" s="4">
        <v>27</v>
      </c>
      <c r="D793" s="8">
        <v>2.5</v>
      </c>
      <c r="E793" s="4">
        <v>24</v>
      </c>
      <c r="F793" s="8">
        <v>4.4400000000000004</v>
      </c>
      <c r="G793" s="4">
        <v>3</v>
      </c>
      <c r="H793" s="8">
        <v>0.56000000000000005</v>
      </c>
      <c r="I793" s="4">
        <v>0</v>
      </c>
    </row>
    <row r="794" spans="1:9" x14ac:dyDescent="0.2">
      <c r="A794" s="2">
        <v>7</v>
      </c>
      <c r="B794" s="1" t="s">
        <v>154</v>
      </c>
      <c r="C794" s="4">
        <v>25</v>
      </c>
      <c r="D794" s="8">
        <v>2.3199999999999998</v>
      </c>
      <c r="E794" s="4">
        <v>3</v>
      </c>
      <c r="F794" s="8">
        <v>0.55000000000000004</v>
      </c>
      <c r="G794" s="4">
        <v>22</v>
      </c>
      <c r="H794" s="8">
        <v>4.1399999999999997</v>
      </c>
      <c r="I794" s="4">
        <v>0</v>
      </c>
    </row>
    <row r="795" spans="1:9" x14ac:dyDescent="0.2">
      <c r="A795" s="2">
        <v>7</v>
      </c>
      <c r="B795" s="1" t="s">
        <v>155</v>
      </c>
      <c r="C795" s="4">
        <v>25</v>
      </c>
      <c r="D795" s="8">
        <v>2.3199999999999998</v>
      </c>
      <c r="E795" s="4">
        <v>5</v>
      </c>
      <c r="F795" s="8">
        <v>0.92</v>
      </c>
      <c r="G795" s="4">
        <v>20</v>
      </c>
      <c r="H795" s="8">
        <v>3.76</v>
      </c>
      <c r="I795" s="4">
        <v>0</v>
      </c>
    </row>
    <row r="796" spans="1:9" x14ac:dyDescent="0.2">
      <c r="A796" s="2">
        <v>7</v>
      </c>
      <c r="B796" s="1" t="s">
        <v>171</v>
      </c>
      <c r="C796" s="4">
        <v>25</v>
      </c>
      <c r="D796" s="8">
        <v>2.3199999999999998</v>
      </c>
      <c r="E796" s="4">
        <v>21</v>
      </c>
      <c r="F796" s="8">
        <v>3.88</v>
      </c>
      <c r="G796" s="4">
        <v>4</v>
      </c>
      <c r="H796" s="8">
        <v>0.75</v>
      </c>
      <c r="I796" s="4">
        <v>0</v>
      </c>
    </row>
    <row r="797" spans="1:9" x14ac:dyDescent="0.2">
      <c r="A797" s="2">
        <v>10</v>
      </c>
      <c r="B797" s="1" t="s">
        <v>218</v>
      </c>
      <c r="C797" s="4">
        <v>24</v>
      </c>
      <c r="D797" s="8">
        <v>2.23</v>
      </c>
      <c r="E797" s="4">
        <v>2</v>
      </c>
      <c r="F797" s="8">
        <v>0.37</v>
      </c>
      <c r="G797" s="4">
        <v>21</v>
      </c>
      <c r="H797" s="8">
        <v>3.95</v>
      </c>
      <c r="I797" s="4">
        <v>0</v>
      </c>
    </row>
    <row r="798" spans="1:9" x14ac:dyDescent="0.2">
      <c r="A798" s="2">
        <v>11</v>
      </c>
      <c r="B798" s="1" t="s">
        <v>186</v>
      </c>
      <c r="C798" s="4">
        <v>23</v>
      </c>
      <c r="D798" s="8">
        <v>2.13</v>
      </c>
      <c r="E798" s="4">
        <v>10</v>
      </c>
      <c r="F798" s="8">
        <v>1.85</v>
      </c>
      <c r="G798" s="4">
        <v>13</v>
      </c>
      <c r="H798" s="8">
        <v>2.44</v>
      </c>
      <c r="I798" s="4">
        <v>0</v>
      </c>
    </row>
    <row r="799" spans="1:9" x14ac:dyDescent="0.2">
      <c r="A799" s="2">
        <v>12</v>
      </c>
      <c r="B799" s="1" t="s">
        <v>173</v>
      </c>
      <c r="C799" s="4">
        <v>21</v>
      </c>
      <c r="D799" s="8">
        <v>1.95</v>
      </c>
      <c r="E799" s="4">
        <v>15</v>
      </c>
      <c r="F799" s="8">
        <v>2.77</v>
      </c>
      <c r="G799" s="4">
        <v>6</v>
      </c>
      <c r="H799" s="8">
        <v>1.1299999999999999</v>
      </c>
      <c r="I799" s="4">
        <v>0</v>
      </c>
    </row>
    <row r="800" spans="1:9" x14ac:dyDescent="0.2">
      <c r="A800" s="2">
        <v>13</v>
      </c>
      <c r="B800" s="1" t="s">
        <v>166</v>
      </c>
      <c r="C800" s="4">
        <v>20</v>
      </c>
      <c r="D800" s="8">
        <v>1.86</v>
      </c>
      <c r="E800" s="4">
        <v>18</v>
      </c>
      <c r="F800" s="8">
        <v>3.33</v>
      </c>
      <c r="G800" s="4">
        <v>2</v>
      </c>
      <c r="H800" s="8">
        <v>0.38</v>
      </c>
      <c r="I800" s="4">
        <v>0</v>
      </c>
    </row>
    <row r="801" spans="1:9" x14ac:dyDescent="0.2">
      <c r="A801" s="2">
        <v>14</v>
      </c>
      <c r="B801" s="1" t="s">
        <v>168</v>
      </c>
      <c r="C801" s="4">
        <v>19</v>
      </c>
      <c r="D801" s="8">
        <v>1.76</v>
      </c>
      <c r="E801" s="4">
        <v>19</v>
      </c>
      <c r="F801" s="8">
        <v>3.51</v>
      </c>
      <c r="G801" s="4">
        <v>0</v>
      </c>
      <c r="H801" s="8">
        <v>0</v>
      </c>
      <c r="I801" s="4">
        <v>0</v>
      </c>
    </row>
    <row r="802" spans="1:9" x14ac:dyDescent="0.2">
      <c r="A802" s="2">
        <v>15</v>
      </c>
      <c r="B802" s="1" t="s">
        <v>156</v>
      </c>
      <c r="C802" s="4">
        <v>15</v>
      </c>
      <c r="D802" s="8">
        <v>1.39</v>
      </c>
      <c r="E802" s="4">
        <v>5</v>
      </c>
      <c r="F802" s="8">
        <v>0.92</v>
      </c>
      <c r="G802" s="4">
        <v>10</v>
      </c>
      <c r="H802" s="8">
        <v>1.88</v>
      </c>
      <c r="I802" s="4">
        <v>0</v>
      </c>
    </row>
    <row r="803" spans="1:9" x14ac:dyDescent="0.2">
      <c r="A803" s="2">
        <v>15</v>
      </c>
      <c r="B803" s="1" t="s">
        <v>174</v>
      </c>
      <c r="C803" s="4">
        <v>15</v>
      </c>
      <c r="D803" s="8">
        <v>1.39</v>
      </c>
      <c r="E803" s="4">
        <v>3</v>
      </c>
      <c r="F803" s="8">
        <v>0.55000000000000004</v>
      </c>
      <c r="G803" s="4">
        <v>12</v>
      </c>
      <c r="H803" s="8">
        <v>2.2599999999999998</v>
      </c>
      <c r="I803" s="4">
        <v>0</v>
      </c>
    </row>
    <row r="804" spans="1:9" x14ac:dyDescent="0.2">
      <c r="A804" s="2">
        <v>15</v>
      </c>
      <c r="B804" s="1" t="s">
        <v>161</v>
      </c>
      <c r="C804" s="4">
        <v>15</v>
      </c>
      <c r="D804" s="8">
        <v>1.39</v>
      </c>
      <c r="E804" s="4">
        <v>11</v>
      </c>
      <c r="F804" s="8">
        <v>2.0299999999999998</v>
      </c>
      <c r="G804" s="4">
        <v>4</v>
      </c>
      <c r="H804" s="8">
        <v>0.75</v>
      </c>
      <c r="I804" s="4">
        <v>0</v>
      </c>
    </row>
    <row r="805" spans="1:9" x14ac:dyDescent="0.2">
      <c r="A805" s="2">
        <v>18</v>
      </c>
      <c r="B805" s="1" t="s">
        <v>177</v>
      </c>
      <c r="C805" s="4">
        <v>14</v>
      </c>
      <c r="D805" s="8">
        <v>1.3</v>
      </c>
      <c r="E805" s="4">
        <v>11</v>
      </c>
      <c r="F805" s="8">
        <v>2.0299999999999998</v>
      </c>
      <c r="G805" s="4">
        <v>3</v>
      </c>
      <c r="H805" s="8">
        <v>0.56000000000000005</v>
      </c>
      <c r="I805" s="4">
        <v>0</v>
      </c>
    </row>
    <row r="806" spans="1:9" x14ac:dyDescent="0.2">
      <c r="A806" s="2">
        <v>18</v>
      </c>
      <c r="B806" s="1" t="s">
        <v>160</v>
      </c>
      <c r="C806" s="4">
        <v>14</v>
      </c>
      <c r="D806" s="8">
        <v>1.3</v>
      </c>
      <c r="E806" s="4">
        <v>3</v>
      </c>
      <c r="F806" s="8">
        <v>0.55000000000000004</v>
      </c>
      <c r="G806" s="4">
        <v>11</v>
      </c>
      <c r="H806" s="8">
        <v>2.0699999999999998</v>
      </c>
      <c r="I806" s="4">
        <v>0</v>
      </c>
    </row>
    <row r="807" spans="1:9" x14ac:dyDescent="0.2">
      <c r="A807" s="2">
        <v>18</v>
      </c>
      <c r="B807" s="1" t="s">
        <v>163</v>
      </c>
      <c r="C807" s="4">
        <v>14</v>
      </c>
      <c r="D807" s="8">
        <v>1.3</v>
      </c>
      <c r="E807" s="4">
        <v>3</v>
      </c>
      <c r="F807" s="8">
        <v>0.55000000000000004</v>
      </c>
      <c r="G807" s="4">
        <v>11</v>
      </c>
      <c r="H807" s="8">
        <v>2.0699999999999998</v>
      </c>
      <c r="I807" s="4">
        <v>0</v>
      </c>
    </row>
    <row r="808" spans="1:9" x14ac:dyDescent="0.2">
      <c r="A808" s="2">
        <v>18</v>
      </c>
      <c r="B808" s="1" t="s">
        <v>179</v>
      </c>
      <c r="C808" s="4">
        <v>14</v>
      </c>
      <c r="D808" s="8">
        <v>1.3</v>
      </c>
      <c r="E808" s="4">
        <v>12</v>
      </c>
      <c r="F808" s="8">
        <v>2.2200000000000002</v>
      </c>
      <c r="G808" s="4">
        <v>2</v>
      </c>
      <c r="H808" s="8">
        <v>0.38</v>
      </c>
      <c r="I808" s="4">
        <v>0</v>
      </c>
    </row>
    <row r="809" spans="1:9" x14ac:dyDescent="0.2">
      <c r="A809" s="1"/>
      <c r="C809" s="4"/>
      <c r="D809" s="8"/>
      <c r="E809" s="4"/>
      <c r="F809" s="8"/>
      <c r="G809" s="4"/>
      <c r="H809" s="8"/>
      <c r="I809" s="4"/>
    </row>
    <row r="810" spans="1:9" x14ac:dyDescent="0.2">
      <c r="A810" s="1" t="s">
        <v>36</v>
      </c>
      <c r="C810" s="4"/>
      <c r="D810" s="8"/>
      <c r="E810" s="4"/>
      <c r="F810" s="8"/>
      <c r="G810" s="4"/>
      <c r="H810" s="8"/>
      <c r="I810" s="4"/>
    </row>
    <row r="811" spans="1:9" x14ac:dyDescent="0.2">
      <c r="A811" s="2">
        <v>1</v>
      </c>
      <c r="B811" s="1" t="s">
        <v>170</v>
      </c>
      <c r="C811" s="4">
        <v>58</v>
      </c>
      <c r="D811" s="8">
        <v>5.42</v>
      </c>
      <c r="E811" s="4">
        <v>50</v>
      </c>
      <c r="F811" s="8">
        <v>8.4700000000000006</v>
      </c>
      <c r="G811" s="4">
        <v>8</v>
      </c>
      <c r="H811" s="8">
        <v>1.69</v>
      </c>
      <c r="I811" s="4">
        <v>0</v>
      </c>
    </row>
    <row r="812" spans="1:9" x14ac:dyDescent="0.2">
      <c r="A812" s="2">
        <v>2</v>
      </c>
      <c r="B812" s="1" t="s">
        <v>172</v>
      </c>
      <c r="C812" s="4">
        <v>41</v>
      </c>
      <c r="D812" s="8">
        <v>3.83</v>
      </c>
      <c r="E812" s="4">
        <v>37</v>
      </c>
      <c r="F812" s="8">
        <v>6.27</v>
      </c>
      <c r="G812" s="4">
        <v>4</v>
      </c>
      <c r="H812" s="8">
        <v>0.84</v>
      </c>
      <c r="I812" s="4">
        <v>0</v>
      </c>
    </row>
    <row r="813" spans="1:9" x14ac:dyDescent="0.2">
      <c r="A813" s="2">
        <v>3</v>
      </c>
      <c r="B813" s="1" t="s">
        <v>169</v>
      </c>
      <c r="C813" s="4">
        <v>36</v>
      </c>
      <c r="D813" s="8">
        <v>3.36</v>
      </c>
      <c r="E813" s="4">
        <v>34</v>
      </c>
      <c r="F813" s="8">
        <v>5.76</v>
      </c>
      <c r="G813" s="4">
        <v>2</v>
      </c>
      <c r="H813" s="8">
        <v>0.42</v>
      </c>
      <c r="I813" s="4">
        <v>0</v>
      </c>
    </row>
    <row r="814" spans="1:9" x14ac:dyDescent="0.2">
      <c r="A814" s="2">
        <v>4</v>
      </c>
      <c r="B814" s="1" t="s">
        <v>154</v>
      </c>
      <c r="C814" s="4">
        <v>35</v>
      </c>
      <c r="D814" s="8">
        <v>3.27</v>
      </c>
      <c r="E814" s="4">
        <v>3</v>
      </c>
      <c r="F814" s="8">
        <v>0.51</v>
      </c>
      <c r="G814" s="4">
        <v>32</v>
      </c>
      <c r="H814" s="8">
        <v>6.75</v>
      </c>
      <c r="I814" s="4">
        <v>0</v>
      </c>
    </row>
    <row r="815" spans="1:9" x14ac:dyDescent="0.2">
      <c r="A815" s="2">
        <v>4</v>
      </c>
      <c r="B815" s="1" t="s">
        <v>171</v>
      </c>
      <c r="C815" s="4">
        <v>35</v>
      </c>
      <c r="D815" s="8">
        <v>3.27</v>
      </c>
      <c r="E815" s="4">
        <v>32</v>
      </c>
      <c r="F815" s="8">
        <v>5.42</v>
      </c>
      <c r="G815" s="4">
        <v>3</v>
      </c>
      <c r="H815" s="8">
        <v>0.63</v>
      </c>
      <c r="I815" s="4">
        <v>0</v>
      </c>
    </row>
    <row r="816" spans="1:9" x14ac:dyDescent="0.2">
      <c r="A816" s="2">
        <v>6</v>
      </c>
      <c r="B816" s="1" t="s">
        <v>186</v>
      </c>
      <c r="C816" s="4">
        <v>31</v>
      </c>
      <c r="D816" s="8">
        <v>2.9</v>
      </c>
      <c r="E816" s="4">
        <v>14</v>
      </c>
      <c r="F816" s="8">
        <v>2.37</v>
      </c>
      <c r="G816" s="4">
        <v>17</v>
      </c>
      <c r="H816" s="8">
        <v>3.59</v>
      </c>
      <c r="I816" s="4">
        <v>0</v>
      </c>
    </row>
    <row r="817" spans="1:9" x14ac:dyDescent="0.2">
      <c r="A817" s="2">
        <v>7</v>
      </c>
      <c r="B817" s="1" t="s">
        <v>166</v>
      </c>
      <c r="C817" s="4">
        <v>29</v>
      </c>
      <c r="D817" s="8">
        <v>2.71</v>
      </c>
      <c r="E817" s="4">
        <v>23</v>
      </c>
      <c r="F817" s="8">
        <v>3.9</v>
      </c>
      <c r="G817" s="4">
        <v>6</v>
      </c>
      <c r="H817" s="8">
        <v>1.27</v>
      </c>
      <c r="I817" s="4">
        <v>0</v>
      </c>
    </row>
    <row r="818" spans="1:9" x14ac:dyDescent="0.2">
      <c r="A818" s="2">
        <v>8</v>
      </c>
      <c r="B818" s="1" t="s">
        <v>177</v>
      </c>
      <c r="C818" s="4">
        <v>28</v>
      </c>
      <c r="D818" s="8">
        <v>2.62</v>
      </c>
      <c r="E818" s="4">
        <v>21</v>
      </c>
      <c r="F818" s="8">
        <v>3.56</v>
      </c>
      <c r="G818" s="4">
        <v>7</v>
      </c>
      <c r="H818" s="8">
        <v>1.48</v>
      </c>
      <c r="I818" s="4">
        <v>0</v>
      </c>
    </row>
    <row r="819" spans="1:9" x14ac:dyDescent="0.2">
      <c r="A819" s="2">
        <v>9</v>
      </c>
      <c r="B819" s="1" t="s">
        <v>162</v>
      </c>
      <c r="C819" s="4">
        <v>23</v>
      </c>
      <c r="D819" s="8">
        <v>2.15</v>
      </c>
      <c r="E819" s="4">
        <v>4</v>
      </c>
      <c r="F819" s="8">
        <v>0.68</v>
      </c>
      <c r="G819" s="4">
        <v>19</v>
      </c>
      <c r="H819" s="8">
        <v>4.01</v>
      </c>
      <c r="I819" s="4">
        <v>0</v>
      </c>
    </row>
    <row r="820" spans="1:9" x14ac:dyDescent="0.2">
      <c r="A820" s="2">
        <v>9</v>
      </c>
      <c r="B820" s="1" t="s">
        <v>167</v>
      </c>
      <c r="C820" s="4">
        <v>23</v>
      </c>
      <c r="D820" s="8">
        <v>2.15</v>
      </c>
      <c r="E820" s="4">
        <v>20</v>
      </c>
      <c r="F820" s="8">
        <v>3.39</v>
      </c>
      <c r="G820" s="4">
        <v>3</v>
      </c>
      <c r="H820" s="8">
        <v>0.63</v>
      </c>
      <c r="I820" s="4">
        <v>0</v>
      </c>
    </row>
    <row r="821" spans="1:9" x14ac:dyDescent="0.2">
      <c r="A821" s="2">
        <v>11</v>
      </c>
      <c r="B821" s="1" t="s">
        <v>158</v>
      </c>
      <c r="C821" s="4">
        <v>22</v>
      </c>
      <c r="D821" s="8">
        <v>2.06</v>
      </c>
      <c r="E821" s="4">
        <v>15</v>
      </c>
      <c r="F821" s="8">
        <v>2.54</v>
      </c>
      <c r="G821" s="4">
        <v>7</v>
      </c>
      <c r="H821" s="8">
        <v>1.48</v>
      </c>
      <c r="I821" s="4">
        <v>0</v>
      </c>
    </row>
    <row r="822" spans="1:9" x14ac:dyDescent="0.2">
      <c r="A822" s="2">
        <v>12</v>
      </c>
      <c r="B822" s="1" t="s">
        <v>157</v>
      </c>
      <c r="C822" s="4">
        <v>21</v>
      </c>
      <c r="D822" s="8">
        <v>1.96</v>
      </c>
      <c r="E822" s="4">
        <v>6</v>
      </c>
      <c r="F822" s="8">
        <v>1.02</v>
      </c>
      <c r="G822" s="4">
        <v>15</v>
      </c>
      <c r="H822" s="8">
        <v>3.16</v>
      </c>
      <c r="I822" s="4">
        <v>0</v>
      </c>
    </row>
    <row r="823" spans="1:9" x14ac:dyDescent="0.2">
      <c r="A823" s="2">
        <v>12</v>
      </c>
      <c r="B823" s="1" t="s">
        <v>159</v>
      </c>
      <c r="C823" s="4">
        <v>21</v>
      </c>
      <c r="D823" s="8">
        <v>1.96</v>
      </c>
      <c r="E823" s="4">
        <v>14</v>
      </c>
      <c r="F823" s="8">
        <v>2.37</v>
      </c>
      <c r="G823" s="4">
        <v>7</v>
      </c>
      <c r="H823" s="8">
        <v>1.48</v>
      </c>
      <c r="I823" s="4">
        <v>0</v>
      </c>
    </row>
    <row r="824" spans="1:9" x14ac:dyDescent="0.2">
      <c r="A824" s="2">
        <v>12</v>
      </c>
      <c r="B824" s="1" t="s">
        <v>160</v>
      </c>
      <c r="C824" s="4">
        <v>21</v>
      </c>
      <c r="D824" s="8">
        <v>1.96</v>
      </c>
      <c r="E824" s="4">
        <v>9</v>
      </c>
      <c r="F824" s="8">
        <v>1.53</v>
      </c>
      <c r="G824" s="4">
        <v>12</v>
      </c>
      <c r="H824" s="8">
        <v>2.5299999999999998</v>
      </c>
      <c r="I824" s="4">
        <v>0</v>
      </c>
    </row>
    <row r="825" spans="1:9" x14ac:dyDescent="0.2">
      <c r="A825" s="2">
        <v>15</v>
      </c>
      <c r="B825" s="1" t="s">
        <v>155</v>
      </c>
      <c r="C825" s="4">
        <v>20</v>
      </c>
      <c r="D825" s="8">
        <v>1.87</v>
      </c>
      <c r="E825" s="4">
        <v>2</v>
      </c>
      <c r="F825" s="8">
        <v>0.34</v>
      </c>
      <c r="G825" s="4">
        <v>18</v>
      </c>
      <c r="H825" s="8">
        <v>3.8</v>
      </c>
      <c r="I825" s="4">
        <v>0</v>
      </c>
    </row>
    <row r="826" spans="1:9" x14ac:dyDescent="0.2">
      <c r="A826" s="2">
        <v>15</v>
      </c>
      <c r="B826" s="1" t="s">
        <v>179</v>
      </c>
      <c r="C826" s="4">
        <v>20</v>
      </c>
      <c r="D826" s="8">
        <v>1.87</v>
      </c>
      <c r="E826" s="4">
        <v>20</v>
      </c>
      <c r="F826" s="8">
        <v>3.39</v>
      </c>
      <c r="G826" s="4">
        <v>0</v>
      </c>
      <c r="H826" s="8">
        <v>0</v>
      </c>
      <c r="I826" s="4">
        <v>0</v>
      </c>
    </row>
    <row r="827" spans="1:9" x14ac:dyDescent="0.2">
      <c r="A827" s="2">
        <v>15</v>
      </c>
      <c r="B827" s="1" t="s">
        <v>173</v>
      </c>
      <c r="C827" s="4">
        <v>20</v>
      </c>
      <c r="D827" s="8">
        <v>1.87</v>
      </c>
      <c r="E827" s="4">
        <v>17</v>
      </c>
      <c r="F827" s="8">
        <v>2.88</v>
      </c>
      <c r="G827" s="4">
        <v>3</v>
      </c>
      <c r="H827" s="8">
        <v>0.63</v>
      </c>
      <c r="I827" s="4">
        <v>0</v>
      </c>
    </row>
    <row r="828" spans="1:9" x14ac:dyDescent="0.2">
      <c r="A828" s="2">
        <v>18</v>
      </c>
      <c r="B828" s="1" t="s">
        <v>156</v>
      </c>
      <c r="C828" s="4">
        <v>17</v>
      </c>
      <c r="D828" s="8">
        <v>1.59</v>
      </c>
      <c r="E828" s="4">
        <v>8</v>
      </c>
      <c r="F828" s="8">
        <v>1.36</v>
      </c>
      <c r="G828" s="4">
        <v>9</v>
      </c>
      <c r="H828" s="8">
        <v>1.9</v>
      </c>
      <c r="I828" s="4">
        <v>0</v>
      </c>
    </row>
    <row r="829" spans="1:9" x14ac:dyDescent="0.2">
      <c r="A829" s="2">
        <v>18</v>
      </c>
      <c r="B829" s="1" t="s">
        <v>174</v>
      </c>
      <c r="C829" s="4">
        <v>17</v>
      </c>
      <c r="D829" s="8">
        <v>1.59</v>
      </c>
      <c r="E829" s="4">
        <v>10</v>
      </c>
      <c r="F829" s="8">
        <v>1.69</v>
      </c>
      <c r="G829" s="4">
        <v>7</v>
      </c>
      <c r="H829" s="8">
        <v>1.48</v>
      </c>
      <c r="I829" s="4">
        <v>0</v>
      </c>
    </row>
    <row r="830" spans="1:9" x14ac:dyDescent="0.2">
      <c r="A830" s="2">
        <v>18</v>
      </c>
      <c r="B830" s="1" t="s">
        <v>163</v>
      </c>
      <c r="C830" s="4">
        <v>17</v>
      </c>
      <c r="D830" s="8">
        <v>1.59</v>
      </c>
      <c r="E830" s="4">
        <v>3</v>
      </c>
      <c r="F830" s="8">
        <v>0.51</v>
      </c>
      <c r="G830" s="4">
        <v>14</v>
      </c>
      <c r="H830" s="8">
        <v>2.95</v>
      </c>
      <c r="I830" s="4">
        <v>0</v>
      </c>
    </row>
    <row r="831" spans="1:9" x14ac:dyDescent="0.2">
      <c r="A831" s="1"/>
      <c r="C831" s="4"/>
      <c r="D831" s="8"/>
      <c r="E831" s="4"/>
      <c r="F831" s="8"/>
      <c r="G831" s="4"/>
      <c r="H831" s="8"/>
      <c r="I831" s="4"/>
    </row>
    <row r="832" spans="1:9" x14ac:dyDescent="0.2">
      <c r="A832" s="1" t="s">
        <v>37</v>
      </c>
      <c r="C832" s="4"/>
      <c r="D832" s="8"/>
      <c r="E832" s="4"/>
      <c r="F832" s="8"/>
      <c r="G832" s="4"/>
      <c r="H832" s="8"/>
      <c r="I832" s="4"/>
    </row>
    <row r="833" spans="1:9" x14ac:dyDescent="0.2">
      <c r="A833" s="2">
        <v>1</v>
      </c>
      <c r="B833" s="1" t="s">
        <v>170</v>
      </c>
      <c r="C833" s="4">
        <v>31</v>
      </c>
      <c r="D833" s="8">
        <v>4.6399999999999997</v>
      </c>
      <c r="E833" s="4">
        <v>31</v>
      </c>
      <c r="F833" s="8">
        <v>7.08</v>
      </c>
      <c r="G833" s="4">
        <v>0</v>
      </c>
      <c r="H833" s="8">
        <v>0</v>
      </c>
      <c r="I833" s="4">
        <v>0</v>
      </c>
    </row>
    <row r="834" spans="1:9" x14ac:dyDescent="0.2">
      <c r="A834" s="2">
        <v>2</v>
      </c>
      <c r="B834" s="1" t="s">
        <v>167</v>
      </c>
      <c r="C834" s="4">
        <v>28</v>
      </c>
      <c r="D834" s="8">
        <v>4.1900000000000004</v>
      </c>
      <c r="E834" s="4">
        <v>28</v>
      </c>
      <c r="F834" s="8">
        <v>6.39</v>
      </c>
      <c r="G834" s="4">
        <v>0</v>
      </c>
      <c r="H834" s="8">
        <v>0</v>
      </c>
      <c r="I834" s="4">
        <v>0</v>
      </c>
    </row>
    <row r="835" spans="1:9" x14ac:dyDescent="0.2">
      <c r="A835" s="2">
        <v>3</v>
      </c>
      <c r="B835" s="1" t="s">
        <v>166</v>
      </c>
      <c r="C835" s="4">
        <v>26</v>
      </c>
      <c r="D835" s="8">
        <v>3.89</v>
      </c>
      <c r="E835" s="4">
        <v>24</v>
      </c>
      <c r="F835" s="8">
        <v>5.48</v>
      </c>
      <c r="G835" s="4">
        <v>2</v>
      </c>
      <c r="H835" s="8">
        <v>0.9</v>
      </c>
      <c r="I835" s="4">
        <v>0</v>
      </c>
    </row>
    <row r="836" spans="1:9" x14ac:dyDescent="0.2">
      <c r="A836" s="2">
        <v>4</v>
      </c>
      <c r="B836" s="1" t="s">
        <v>159</v>
      </c>
      <c r="C836" s="4">
        <v>23</v>
      </c>
      <c r="D836" s="8">
        <v>3.44</v>
      </c>
      <c r="E836" s="4">
        <v>16</v>
      </c>
      <c r="F836" s="8">
        <v>3.65</v>
      </c>
      <c r="G836" s="4">
        <v>7</v>
      </c>
      <c r="H836" s="8">
        <v>3.17</v>
      </c>
      <c r="I836" s="4">
        <v>0</v>
      </c>
    </row>
    <row r="837" spans="1:9" x14ac:dyDescent="0.2">
      <c r="A837" s="2">
        <v>5</v>
      </c>
      <c r="B837" s="1" t="s">
        <v>154</v>
      </c>
      <c r="C837" s="4">
        <v>21</v>
      </c>
      <c r="D837" s="8">
        <v>3.14</v>
      </c>
      <c r="E837" s="4">
        <v>2</v>
      </c>
      <c r="F837" s="8">
        <v>0.46</v>
      </c>
      <c r="G837" s="4">
        <v>19</v>
      </c>
      <c r="H837" s="8">
        <v>8.6</v>
      </c>
      <c r="I837" s="4">
        <v>0</v>
      </c>
    </row>
    <row r="838" spans="1:9" x14ac:dyDescent="0.2">
      <c r="A838" s="2">
        <v>5</v>
      </c>
      <c r="B838" s="1" t="s">
        <v>169</v>
      </c>
      <c r="C838" s="4">
        <v>21</v>
      </c>
      <c r="D838" s="8">
        <v>3.14</v>
      </c>
      <c r="E838" s="4">
        <v>21</v>
      </c>
      <c r="F838" s="8">
        <v>4.79</v>
      </c>
      <c r="G838" s="4">
        <v>0</v>
      </c>
      <c r="H838" s="8">
        <v>0</v>
      </c>
      <c r="I838" s="4">
        <v>0</v>
      </c>
    </row>
    <row r="839" spans="1:9" x14ac:dyDescent="0.2">
      <c r="A839" s="2">
        <v>7</v>
      </c>
      <c r="B839" s="1" t="s">
        <v>160</v>
      </c>
      <c r="C839" s="4">
        <v>20</v>
      </c>
      <c r="D839" s="8">
        <v>2.99</v>
      </c>
      <c r="E839" s="4">
        <v>4</v>
      </c>
      <c r="F839" s="8">
        <v>0.91</v>
      </c>
      <c r="G839" s="4">
        <v>16</v>
      </c>
      <c r="H839" s="8">
        <v>7.24</v>
      </c>
      <c r="I839" s="4">
        <v>0</v>
      </c>
    </row>
    <row r="840" spans="1:9" x14ac:dyDescent="0.2">
      <c r="A840" s="2">
        <v>7</v>
      </c>
      <c r="B840" s="1" t="s">
        <v>161</v>
      </c>
      <c r="C840" s="4">
        <v>20</v>
      </c>
      <c r="D840" s="8">
        <v>2.99</v>
      </c>
      <c r="E840" s="4">
        <v>16</v>
      </c>
      <c r="F840" s="8">
        <v>3.65</v>
      </c>
      <c r="G840" s="4">
        <v>4</v>
      </c>
      <c r="H840" s="8">
        <v>1.81</v>
      </c>
      <c r="I840" s="4">
        <v>0</v>
      </c>
    </row>
    <row r="841" spans="1:9" x14ac:dyDescent="0.2">
      <c r="A841" s="2">
        <v>9</v>
      </c>
      <c r="B841" s="1" t="s">
        <v>186</v>
      </c>
      <c r="C841" s="4">
        <v>18</v>
      </c>
      <c r="D841" s="8">
        <v>2.69</v>
      </c>
      <c r="E841" s="4">
        <v>9</v>
      </c>
      <c r="F841" s="8">
        <v>2.0499999999999998</v>
      </c>
      <c r="G841" s="4">
        <v>9</v>
      </c>
      <c r="H841" s="8">
        <v>4.07</v>
      </c>
      <c r="I841" s="4">
        <v>0</v>
      </c>
    </row>
    <row r="842" spans="1:9" x14ac:dyDescent="0.2">
      <c r="A842" s="2">
        <v>10</v>
      </c>
      <c r="B842" s="1" t="s">
        <v>173</v>
      </c>
      <c r="C842" s="4">
        <v>16</v>
      </c>
      <c r="D842" s="8">
        <v>2.4</v>
      </c>
      <c r="E842" s="4">
        <v>14</v>
      </c>
      <c r="F842" s="8">
        <v>3.2</v>
      </c>
      <c r="G842" s="4">
        <v>2</v>
      </c>
      <c r="H842" s="8">
        <v>0.9</v>
      </c>
      <c r="I842" s="4">
        <v>0</v>
      </c>
    </row>
    <row r="843" spans="1:9" x14ac:dyDescent="0.2">
      <c r="A843" s="2">
        <v>11</v>
      </c>
      <c r="B843" s="1" t="s">
        <v>158</v>
      </c>
      <c r="C843" s="4">
        <v>14</v>
      </c>
      <c r="D843" s="8">
        <v>2.1</v>
      </c>
      <c r="E843" s="4">
        <v>12</v>
      </c>
      <c r="F843" s="8">
        <v>2.74</v>
      </c>
      <c r="G843" s="4">
        <v>2</v>
      </c>
      <c r="H843" s="8">
        <v>0.9</v>
      </c>
      <c r="I843" s="4">
        <v>0</v>
      </c>
    </row>
    <row r="844" spans="1:9" x14ac:dyDescent="0.2">
      <c r="A844" s="2">
        <v>12</v>
      </c>
      <c r="B844" s="1" t="s">
        <v>155</v>
      </c>
      <c r="C844" s="4">
        <v>12</v>
      </c>
      <c r="D844" s="8">
        <v>1.8</v>
      </c>
      <c r="E844" s="4">
        <v>5</v>
      </c>
      <c r="F844" s="8">
        <v>1.1399999999999999</v>
      </c>
      <c r="G844" s="4">
        <v>7</v>
      </c>
      <c r="H844" s="8">
        <v>3.17</v>
      </c>
      <c r="I844" s="4">
        <v>0</v>
      </c>
    </row>
    <row r="845" spans="1:9" x14ac:dyDescent="0.2">
      <c r="A845" s="2">
        <v>13</v>
      </c>
      <c r="B845" s="1" t="s">
        <v>177</v>
      </c>
      <c r="C845" s="4">
        <v>11</v>
      </c>
      <c r="D845" s="8">
        <v>1.65</v>
      </c>
      <c r="E845" s="4">
        <v>10</v>
      </c>
      <c r="F845" s="8">
        <v>2.2799999999999998</v>
      </c>
      <c r="G845" s="4">
        <v>1</v>
      </c>
      <c r="H845" s="8">
        <v>0.45</v>
      </c>
      <c r="I845" s="4">
        <v>0</v>
      </c>
    </row>
    <row r="846" spans="1:9" x14ac:dyDescent="0.2">
      <c r="A846" s="2">
        <v>13</v>
      </c>
      <c r="B846" s="1" t="s">
        <v>164</v>
      </c>
      <c r="C846" s="4">
        <v>11</v>
      </c>
      <c r="D846" s="8">
        <v>1.65</v>
      </c>
      <c r="E846" s="4">
        <v>2</v>
      </c>
      <c r="F846" s="8">
        <v>0.46</v>
      </c>
      <c r="G846" s="4">
        <v>9</v>
      </c>
      <c r="H846" s="8">
        <v>4.07</v>
      </c>
      <c r="I846" s="4">
        <v>0</v>
      </c>
    </row>
    <row r="847" spans="1:9" x14ac:dyDescent="0.2">
      <c r="A847" s="2">
        <v>13</v>
      </c>
      <c r="B847" s="1" t="s">
        <v>182</v>
      </c>
      <c r="C847" s="4">
        <v>11</v>
      </c>
      <c r="D847" s="8">
        <v>1.65</v>
      </c>
      <c r="E847" s="4">
        <v>5</v>
      </c>
      <c r="F847" s="8">
        <v>1.1399999999999999</v>
      </c>
      <c r="G847" s="4">
        <v>6</v>
      </c>
      <c r="H847" s="8">
        <v>2.71</v>
      </c>
      <c r="I847" s="4">
        <v>0</v>
      </c>
    </row>
    <row r="848" spans="1:9" x14ac:dyDescent="0.2">
      <c r="A848" s="2">
        <v>13</v>
      </c>
      <c r="B848" s="1" t="s">
        <v>172</v>
      </c>
      <c r="C848" s="4">
        <v>11</v>
      </c>
      <c r="D848" s="8">
        <v>1.65</v>
      </c>
      <c r="E848" s="4">
        <v>10</v>
      </c>
      <c r="F848" s="8">
        <v>2.2799999999999998</v>
      </c>
      <c r="G848" s="4">
        <v>1</v>
      </c>
      <c r="H848" s="8">
        <v>0.45</v>
      </c>
      <c r="I848" s="4">
        <v>0</v>
      </c>
    </row>
    <row r="849" spans="1:9" x14ac:dyDescent="0.2">
      <c r="A849" s="2">
        <v>17</v>
      </c>
      <c r="B849" s="1" t="s">
        <v>179</v>
      </c>
      <c r="C849" s="4">
        <v>10</v>
      </c>
      <c r="D849" s="8">
        <v>1.5</v>
      </c>
      <c r="E849" s="4">
        <v>8</v>
      </c>
      <c r="F849" s="8">
        <v>1.83</v>
      </c>
      <c r="G849" s="4">
        <v>1</v>
      </c>
      <c r="H849" s="8">
        <v>0.45</v>
      </c>
      <c r="I849" s="4">
        <v>1</v>
      </c>
    </row>
    <row r="850" spans="1:9" x14ac:dyDescent="0.2">
      <c r="A850" s="2">
        <v>18</v>
      </c>
      <c r="B850" s="1" t="s">
        <v>202</v>
      </c>
      <c r="C850" s="4">
        <v>9</v>
      </c>
      <c r="D850" s="8">
        <v>1.35</v>
      </c>
      <c r="E850" s="4">
        <v>6</v>
      </c>
      <c r="F850" s="8">
        <v>1.37</v>
      </c>
      <c r="G850" s="4">
        <v>3</v>
      </c>
      <c r="H850" s="8">
        <v>1.36</v>
      </c>
      <c r="I850" s="4">
        <v>0</v>
      </c>
    </row>
    <row r="851" spans="1:9" x14ac:dyDescent="0.2">
      <c r="A851" s="2">
        <v>18</v>
      </c>
      <c r="B851" s="1" t="s">
        <v>174</v>
      </c>
      <c r="C851" s="4">
        <v>9</v>
      </c>
      <c r="D851" s="8">
        <v>1.35</v>
      </c>
      <c r="E851" s="4">
        <v>3</v>
      </c>
      <c r="F851" s="8">
        <v>0.68</v>
      </c>
      <c r="G851" s="4">
        <v>6</v>
      </c>
      <c r="H851" s="8">
        <v>2.71</v>
      </c>
      <c r="I851" s="4">
        <v>0</v>
      </c>
    </row>
    <row r="852" spans="1:9" x14ac:dyDescent="0.2">
      <c r="A852" s="2">
        <v>18</v>
      </c>
      <c r="B852" s="1" t="s">
        <v>223</v>
      </c>
      <c r="C852" s="4">
        <v>9</v>
      </c>
      <c r="D852" s="8">
        <v>1.35</v>
      </c>
      <c r="E852" s="4">
        <v>5</v>
      </c>
      <c r="F852" s="8">
        <v>1.1399999999999999</v>
      </c>
      <c r="G852" s="4">
        <v>4</v>
      </c>
      <c r="H852" s="8">
        <v>1.81</v>
      </c>
      <c r="I852" s="4">
        <v>0</v>
      </c>
    </row>
    <row r="853" spans="1:9" x14ac:dyDescent="0.2">
      <c r="A853" s="2">
        <v>18</v>
      </c>
      <c r="B853" s="1" t="s">
        <v>213</v>
      </c>
      <c r="C853" s="4">
        <v>9</v>
      </c>
      <c r="D853" s="8">
        <v>1.35</v>
      </c>
      <c r="E853" s="4">
        <v>7</v>
      </c>
      <c r="F853" s="8">
        <v>1.6</v>
      </c>
      <c r="G853" s="4">
        <v>2</v>
      </c>
      <c r="H853" s="8">
        <v>0.9</v>
      </c>
      <c r="I853" s="4">
        <v>0</v>
      </c>
    </row>
    <row r="854" spans="1:9" x14ac:dyDescent="0.2">
      <c r="A854" s="2">
        <v>18</v>
      </c>
      <c r="B854" s="1" t="s">
        <v>157</v>
      </c>
      <c r="C854" s="4">
        <v>9</v>
      </c>
      <c r="D854" s="8">
        <v>1.35</v>
      </c>
      <c r="E854" s="4">
        <v>5</v>
      </c>
      <c r="F854" s="8">
        <v>1.1399999999999999</v>
      </c>
      <c r="G854" s="4">
        <v>4</v>
      </c>
      <c r="H854" s="8">
        <v>1.81</v>
      </c>
      <c r="I854" s="4">
        <v>0</v>
      </c>
    </row>
    <row r="855" spans="1:9" x14ac:dyDescent="0.2">
      <c r="A855" s="2">
        <v>18</v>
      </c>
      <c r="B855" s="1" t="s">
        <v>168</v>
      </c>
      <c r="C855" s="4">
        <v>9</v>
      </c>
      <c r="D855" s="8">
        <v>1.35</v>
      </c>
      <c r="E855" s="4">
        <v>9</v>
      </c>
      <c r="F855" s="8">
        <v>2.0499999999999998</v>
      </c>
      <c r="G855" s="4">
        <v>0</v>
      </c>
      <c r="H855" s="8">
        <v>0</v>
      </c>
      <c r="I855" s="4">
        <v>0</v>
      </c>
    </row>
    <row r="856" spans="1:9" x14ac:dyDescent="0.2">
      <c r="A856" s="1"/>
      <c r="C856" s="4"/>
      <c r="D856" s="8"/>
      <c r="E856" s="4"/>
      <c r="F856" s="8"/>
      <c r="G856" s="4"/>
      <c r="H856" s="8"/>
      <c r="I856" s="4"/>
    </row>
    <row r="857" spans="1:9" x14ac:dyDescent="0.2">
      <c r="A857" s="1" t="s">
        <v>38</v>
      </c>
      <c r="C857" s="4"/>
      <c r="D857" s="8"/>
      <c r="E857" s="4"/>
      <c r="F857" s="8"/>
      <c r="G857" s="4"/>
      <c r="H857" s="8"/>
      <c r="I857" s="4"/>
    </row>
    <row r="858" spans="1:9" x14ac:dyDescent="0.2">
      <c r="A858" s="2">
        <v>1</v>
      </c>
      <c r="B858" s="1" t="s">
        <v>170</v>
      </c>
      <c r="C858" s="4">
        <v>28</v>
      </c>
      <c r="D858" s="8">
        <v>5.96</v>
      </c>
      <c r="E858" s="4">
        <v>26</v>
      </c>
      <c r="F858" s="8">
        <v>11.21</v>
      </c>
      <c r="G858" s="4">
        <v>2</v>
      </c>
      <c r="H858" s="8">
        <v>0.88</v>
      </c>
      <c r="I858" s="4">
        <v>0</v>
      </c>
    </row>
    <row r="859" spans="1:9" x14ac:dyDescent="0.2">
      <c r="A859" s="2">
        <v>2</v>
      </c>
      <c r="B859" s="1" t="s">
        <v>169</v>
      </c>
      <c r="C859" s="4">
        <v>24</v>
      </c>
      <c r="D859" s="8">
        <v>5.1100000000000003</v>
      </c>
      <c r="E859" s="4">
        <v>24</v>
      </c>
      <c r="F859" s="8">
        <v>10.34</v>
      </c>
      <c r="G859" s="4">
        <v>0</v>
      </c>
      <c r="H859" s="8">
        <v>0</v>
      </c>
      <c r="I859" s="4">
        <v>0</v>
      </c>
    </row>
    <row r="860" spans="1:9" x14ac:dyDescent="0.2">
      <c r="A860" s="2">
        <v>3</v>
      </c>
      <c r="B860" s="1" t="s">
        <v>154</v>
      </c>
      <c r="C860" s="4">
        <v>21</v>
      </c>
      <c r="D860" s="8">
        <v>4.47</v>
      </c>
      <c r="E860" s="4">
        <v>2</v>
      </c>
      <c r="F860" s="8">
        <v>0.86</v>
      </c>
      <c r="G860" s="4">
        <v>19</v>
      </c>
      <c r="H860" s="8">
        <v>8.41</v>
      </c>
      <c r="I860" s="4">
        <v>0</v>
      </c>
    </row>
    <row r="861" spans="1:9" x14ac:dyDescent="0.2">
      <c r="A861" s="2">
        <v>4</v>
      </c>
      <c r="B861" s="1" t="s">
        <v>159</v>
      </c>
      <c r="C861" s="4">
        <v>14</v>
      </c>
      <c r="D861" s="8">
        <v>2.98</v>
      </c>
      <c r="E861" s="4">
        <v>10</v>
      </c>
      <c r="F861" s="8">
        <v>4.3099999999999996</v>
      </c>
      <c r="G861" s="4">
        <v>4</v>
      </c>
      <c r="H861" s="8">
        <v>1.77</v>
      </c>
      <c r="I861" s="4">
        <v>0</v>
      </c>
    </row>
    <row r="862" spans="1:9" x14ac:dyDescent="0.2">
      <c r="A862" s="2">
        <v>4</v>
      </c>
      <c r="B862" s="1" t="s">
        <v>166</v>
      </c>
      <c r="C862" s="4">
        <v>14</v>
      </c>
      <c r="D862" s="8">
        <v>2.98</v>
      </c>
      <c r="E862" s="4">
        <v>9</v>
      </c>
      <c r="F862" s="8">
        <v>3.88</v>
      </c>
      <c r="G862" s="4">
        <v>5</v>
      </c>
      <c r="H862" s="8">
        <v>2.21</v>
      </c>
      <c r="I862" s="4">
        <v>0</v>
      </c>
    </row>
    <row r="863" spans="1:9" x14ac:dyDescent="0.2">
      <c r="A863" s="2">
        <v>6</v>
      </c>
      <c r="B863" s="1" t="s">
        <v>155</v>
      </c>
      <c r="C863" s="4">
        <v>12</v>
      </c>
      <c r="D863" s="8">
        <v>2.5499999999999998</v>
      </c>
      <c r="E863" s="4">
        <v>5</v>
      </c>
      <c r="F863" s="8">
        <v>2.16</v>
      </c>
      <c r="G863" s="4">
        <v>7</v>
      </c>
      <c r="H863" s="8">
        <v>3.1</v>
      </c>
      <c r="I863" s="4">
        <v>0</v>
      </c>
    </row>
    <row r="864" spans="1:9" x14ac:dyDescent="0.2">
      <c r="A864" s="2">
        <v>6</v>
      </c>
      <c r="B864" s="1" t="s">
        <v>173</v>
      </c>
      <c r="C864" s="4">
        <v>12</v>
      </c>
      <c r="D864" s="8">
        <v>2.5499999999999998</v>
      </c>
      <c r="E864" s="4">
        <v>10</v>
      </c>
      <c r="F864" s="8">
        <v>4.3099999999999996</v>
      </c>
      <c r="G864" s="4">
        <v>2</v>
      </c>
      <c r="H864" s="8">
        <v>0.88</v>
      </c>
      <c r="I864" s="4">
        <v>0</v>
      </c>
    </row>
    <row r="865" spans="1:9" x14ac:dyDescent="0.2">
      <c r="A865" s="2">
        <v>8</v>
      </c>
      <c r="B865" s="1" t="s">
        <v>158</v>
      </c>
      <c r="C865" s="4">
        <v>11</v>
      </c>
      <c r="D865" s="8">
        <v>2.34</v>
      </c>
      <c r="E865" s="4">
        <v>7</v>
      </c>
      <c r="F865" s="8">
        <v>3.02</v>
      </c>
      <c r="G865" s="4">
        <v>4</v>
      </c>
      <c r="H865" s="8">
        <v>1.77</v>
      </c>
      <c r="I865" s="4">
        <v>0</v>
      </c>
    </row>
    <row r="866" spans="1:9" x14ac:dyDescent="0.2">
      <c r="A866" s="2">
        <v>8</v>
      </c>
      <c r="B866" s="1" t="s">
        <v>205</v>
      </c>
      <c r="C866" s="4">
        <v>11</v>
      </c>
      <c r="D866" s="8">
        <v>2.34</v>
      </c>
      <c r="E866" s="4">
        <v>4</v>
      </c>
      <c r="F866" s="8">
        <v>1.72</v>
      </c>
      <c r="G866" s="4">
        <v>7</v>
      </c>
      <c r="H866" s="8">
        <v>3.1</v>
      </c>
      <c r="I866" s="4">
        <v>0</v>
      </c>
    </row>
    <row r="867" spans="1:9" x14ac:dyDescent="0.2">
      <c r="A867" s="2">
        <v>10</v>
      </c>
      <c r="B867" s="1" t="s">
        <v>181</v>
      </c>
      <c r="C867" s="4">
        <v>9</v>
      </c>
      <c r="D867" s="8">
        <v>1.91</v>
      </c>
      <c r="E867" s="4">
        <v>7</v>
      </c>
      <c r="F867" s="8">
        <v>3.02</v>
      </c>
      <c r="G867" s="4">
        <v>2</v>
      </c>
      <c r="H867" s="8">
        <v>0.88</v>
      </c>
      <c r="I867" s="4">
        <v>0</v>
      </c>
    </row>
    <row r="868" spans="1:9" x14ac:dyDescent="0.2">
      <c r="A868" s="2">
        <v>10</v>
      </c>
      <c r="B868" s="1" t="s">
        <v>164</v>
      </c>
      <c r="C868" s="4">
        <v>9</v>
      </c>
      <c r="D868" s="8">
        <v>1.91</v>
      </c>
      <c r="E868" s="4">
        <v>3</v>
      </c>
      <c r="F868" s="8">
        <v>1.29</v>
      </c>
      <c r="G868" s="4">
        <v>6</v>
      </c>
      <c r="H868" s="8">
        <v>2.65</v>
      </c>
      <c r="I868" s="4">
        <v>0</v>
      </c>
    </row>
    <row r="869" spans="1:9" x14ac:dyDescent="0.2">
      <c r="A869" s="2">
        <v>10</v>
      </c>
      <c r="B869" s="1" t="s">
        <v>165</v>
      </c>
      <c r="C869" s="4">
        <v>9</v>
      </c>
      <c r="D869" s="8">
        <v>1.91</v>
      </c>
      <c r="E869" s="4">
        <v>5</v>
      </c>
      <c r="F869" s="8">
        <v>2.16</v>
      </c>
      <c r="G869" s="4">
        <v>3</v>
      </c>
      <c r="H869" s="8">
        <v>1.33</v>
      </c>
      <c r="I869" s="4">
        <v>0</v>
      </c>
    </row>
    <row r="870" spans="1:9" x14ac:dyDescent="0.2">
      <c r="A870" s="2">
        <v>13</v>
      </c>
      <c r="B870" s="1" t="s">
        <v>174</v>
      </c>
      <c r="C870" s="4">
        <v>8</v>
      </c>
      <c r="D870" s="8">
        <v>1.7</v>
      </c>
      <c r="E870" s="4">
        <v>4</v>
      </c>
      <c r="F870" s="8">
        <v>1.72</v>
      </c>
      <c r="G870" s="4">
        <v>4</v>
      </c>
      <c r="H870" s="8">
        <v>1.77</v>
      </c>
      <c r="I870" s="4">
        <v>0</v>
      </c>
    </row>
    <row r="871" spans="1:9" x14ac:dyDescent="0.2">
      <c r="A871" s="2">
        <v>13</v>
      </c>
      <c r="B871" s="1" t="s">
        <v>172</v>
      </c>
      <c r="C871" s="4">
        <v>8</v>
      </c>
      <c r="D871" s="8">
        <v>1.7</v>
      </c>
      <c r="E871" s="4">
        <v>8</v>
      </c>
      <c r="F871" s="8">
        <v>3.45</v>
      </c>
      <c r="G871" s="4">
        <v>0</v>
      </c>
      <c r="H871" s="8">
        <v>0</v>
      </c>
      <c r="I871" s="4">
        <v>0</v>
      </c>
    </row>
    <row r="872" spans="1:9" x14ac:dyDescent="0.2">
      <c r="A872" s="2">
        <v>15</v>
      </c>
      <c r="B872" s="1" t="s">
        <v>156</v>
      </c>
      <c r="C872" s="4">
        <v>7</v>
      </c>
      <c r="D872" s="8">
        <v>1.49</v>
      </c>
      <c r="E872" s="4">
        <v>0</v>
      </c>
      <c r="F872" s="8">
        <v>0</v>
      </c>
      <c r="G872" s="4">
        <v>7</v>
      </c>
      <c r="H872" s="8">
        <v>3.1</v>
      </c>
      <c r="I872" s="4">
        <v>0</v>
      </c>
    </row>
    <row r="873" spans="1:9" x14ac:dyDescent="0.2">
      <c r="A873" s="2">
        <v>15</v>
      </c>
      <c r="B873" s="1" t="s">
        <v>160</v>
      </c>
      <c r="C873" s="4">
        <v>7</v>
      </c>
      <c r="D873" s="8">
        <v>1.49</v>
      </c>
      <c r="E873" s="4">
        <v>2</v>
      </c>
      <c r="F873" s="8">
        <v>0.86</v>
      </c>
      <c r="G873" s="4">
        <v>5</v>
      </c>
      <c r="H873" s="8">
        <v>2.21</v>
      </c>
      <c r="I873" s="4">
        <v>0</v>
      </c>
    </row>
    <row r="874" spans="1:9" x14ac:dyDescent="0.2">
      <c r="A874" s="2">
        <v>17</v>
      </c>
      <c r="B874" s="1" t="s">
        <v>221</v>
      </c>
      <c r="C874" s="4">
        <v>6</v>
      </c>
      <c r="D874" s="8">
        <v>1.28</v>
      </c>
      <c r="E874" s="4">
        <v>0</v>
      </c>
      <c r="F874" s="8">
        <v>0</v>
      </c>
      <c r="G874" s="4">
        <v>6</v>
      </c>
      <c r="H874" s="8">
        <v>2.65</v>
      </c>
      <c r="I874" s="4">
        <v>0</v>
      </c>
    </row>
    <row r="875" spans="1:9" x14ac:dyDescent="0.2">
      <c r="A875" s="2">
        <v>17</v>
      </c>
      <c r="B875" s="1" t="s">
        <v>224</v>
      </c>
      <c r="C875" s="4">
        <v>6</v>
      </c>
      <c r="D875" s="8">
        <v>1.28</v>
      </c>
      <c r="E875" s="4">
        <v>0</v>
      </c>
      <c r="F875" s="8">
        <v>0</v>
      </c>
      <c r="G875" s="4">
        <v>6</v>
      </c>
      <c r="H875" s="8">
        <v>2.65</v>
      </c>
      <c r="I875" s="4">
        <v>0</v>
      </c>
    </row>
    <row r="876" spans="1:9" x14ac:dyDescent="0.2">
      <c r="A876" s="2">
        <v>17</v>
      </c>
      <c r="B876" s="1" t="s">
        <v>208</v>
      </c>
      <c r="C876" s="4">
        <v>6</v>
      </c>
      <c r="D876" s="8">
        <v>1.28</v>
      </c>
      <c r="E876" s="4">
        <v>3</v>
      </c>
      <c r="F876" s="8">
        <v>1.29</v>
      </c>
      <c r="G876" s="4">
        <v>3</v>
      </c>
      <c r="H876" s="8">
        <v>1.33</v>
      </c>
      <c r="I876" s="4">
        <v>0</v>
      </c>
    </row>
    <row r="877" spans="1:9" x14ac:dyDescent="0.2">
      <c r="A877" s="2">
        <v>17</v>
      </c>
      <c r="B877" s="1" t="s">
        <v>225</v>
      </c>
      <c r="C877" s="4">
        <v>6</v>
      </c>
      <c r="D877" s="8">
        <v>1.28</v>
      </c>
      <c r="E877" s="4">
        <v>1</v>
      </c>
      <c r="F877" s="8">
        <v>0.43</v>
      </c>
      <c r="G877" s="4">
        <v>5</v>
      </c>
      <c r="H877" s="8">
        <v>2.21</v>
      </c>
      <c r="I877" s="4">
        <v>0</v>
      </c>
    </row>
    <row r="878" spans="1:9" x14ac:dyDescent="0.2">
      <c r="A878" s="2">
        <v>17</v>
      </c>
      <c r="B878" s="1" t="s">
        <v>167</v>
      </c>
      <c r="C878" s="4">
        <v>6</v>
      </c>
      <c r="D878" s="8">
        <v>1.28</v>
      </c>
      <c r="E878" s="4">
        <v>6</v>
      </c>
      <c r="F878" s="8">
        <v>2.59</v>
      </c>
      <c r="G878" s="4">
        <v>0</v>
      </c>
      <c r="H878" s="8">
        <v>0</v>
      </c>
      <c r="I878" s="4">
        <v>0</v>
      </c>
    </row>
    <row r="879" spans="1:9" x14ac:dyDescent="0.2">
      <c r="A879" s="2">
        <v>17</v>
      </c>
      <c r="B879" s="1" t="s">
        <v>201</v>
      </c>
      <c r="C879" s="4">
        <v>6</v>
      </c>
      <c r="D879" s="8">
        <v>1.28</v>
      </c>
      <c r="E879" s="4">
        <v>3</v>
      </c>
      <c r="F879" s="8">
        <v>1.29</v>
      </c>
      <c r="G879" s="4">
        <v>3</v>
      </c>
      <c r="H879" s="8">
        <v>1.33</v>
      </c>
      <c r="I879" s="4">
        <v>0</v>
      </c>
    </row>
    <row r="880" spans="1:9" x14ac:dyDescent="0.2">
      <c r="A880" s="1"/>
      <c r="C880" s="4"/>
      <c r="D880" s="8"/>
      <c r="E880" s="4"/>
      <c r="F880" s="8"/>
      <c r="G880" s="4"/>
      <c r="H880" s="8"/>
      <c r="I880" s="4"/>
    </row>
    <row r="881" spans="1:9" x14ac:dyDescent="0.2">
      <c r="A881" s="1" t="s">
        <v>39</v>
      </c>
      <c r="C881" s="4"/>
      <c r="D881" s="8"/>
      <c r="E881" s="4"/>
      <c r="F881" s="8"/>
      <c r="G881" s="4"/>
      <c r="H881" s="8"/>
      <c r="I881" s="4"/>
    </row>
    <row r="882" spans="1:9" x14ac:dyDescent="0.2">
      <c r="A882" s="2">
        <v>1</v>
      </c>
      <c r="B882" s="1" t="s">
        <v>170</v>
      </c>
      <c r="C882" s="4">
        <v>55</v>
      </c>
      <c r="D882" s="8">
        <v>7.69</v>
      </c>
      <c r="E882" s="4">
        <v>53</v>
      </c>
      <c r="F882" s="8">
        <v>11.73</v>
      </c>
      <c r="G882" s="4">
        <v>2</v>
      </c>
      <c r="H882" s="8">
        <v>0.85</v>
      </c>
      <c r="I882" s="4">
        <v>0</v>
      </c>
    </row>
    <row r="883" spans="1:9" x14ac:dyDescent="0.2">
      <c r="A883" s="2">
        <v>2</v>
      </c>
      <c r="B883" s="1" t="s">
        <v>154</v>
      </c>
      <c r="C883" s="4">
        <v>34</v>
      </c>
      <c r="D883" s="8">
        <v>4.76</v>
      </c>
      <c r="E883" s="4">
        <v>9</v>
      </c>
      <c r="F883" s="8">
        <v>1.99</v>
      </c>
      <c r="G883" s="4">
        <v>25</v>
      </c>
      <c r="H883" s="8">
        <v>10.64</v>
      </c>
      <c r="I883" s="4">
        <v>0</v>
      </c>
    </row>
    <row r="884" spans="1:9" x14ac:dyDescent="0.2">
      <c r="A884" s="2">
        <v>3</v>
      </c>
      <c r="B884" s="1" t="s">
        <v>169</v>
      </c>
      <c r="C884" s="4">
        <v>32</v>
      </c>
      <c r="D884" s="8">
        <v>4.4800000000000004</v>
      </c>
      <c r="E884" s="4">
        <v>32</v>
      </c>
      <c r="F884" s="8">
        <v>7.08</v>
      </c>
      <c r="G884" s="4">
        <v>0</v>
      </c>
      <c r="H884" s="8">
        <v>0</v>
      </c>
      <c r="I884" s="4">
        <v>0</v>
      </c>
    </row>
    <row r="885" spans="1:9" x14ac:dyDescent="0.2">
      <c r="A885" s="2">
        <v>4</v>
      </c>
      <c r="B885" s="1" t="s">
        <v>173</v>
      </c>
      <c r="C885" s="4">
        <v>22</v>
      </c>
      <c r="D885" s="8">
        <v>3.08</v>
      </c>
      <c r="E885" s="4">
        <v>19</v>
      </c>
      <c r="F885" s="8">
        <v>4.2</v>
      </c>
      <c r="G885" s="4">
        <v>3</v>
      </c>
      <c r="H885" s="8">
        <v>1.28</v>
      </c>
      <c r="I885" s="4">
        <v>0</v>
      </c>
    </row>
    <row r="886" spans="1:9" x14ac:dyDescent="0.2">
      <c r="A886" s="2">
        <v>5</v>
      </c>
      <c r="B886" s="1" t="s">
        <v>160</v>
      </c>
      <c r="C886" s="4">
        <v>21</v>
      </c>
      <c r="D886" s="8">
        <v>2.94</v>
      </c>
      <c r="E886" s="4">
        <v>10</v>
      </c>
      <c r="F886" s="8">
        <v>2.21</v>
      </c>
      <c r="G886" s="4">
        <v>11</v>
      </c>
      <c r="H886" s="8">
        <v>4.68</v>
      </c>
      <c r="I886" s="4">
        <v>0</v>
      </c>
    </row>
    <row r="887" spans="1:9" x14ac:dyDescent="0.2">
      <c r="A887" s="2">
        <v>6</v>
      </c>
      <c r="B887" s="1" t="s">
        <v>159</v>
      </c>
      <c r="C887" s="4">
        <v>19</v>
      </c>
      <c r="D887" s="8">
        <v>2.66</v>
      </c>
      <c r="E887" s="4">
        <v>17</v>
      </c>
      <c r="F887" s="8">
        <v>3.76</v>
      </c>
      <c r="G887" s="4">
        <v>2</v>
      </c>
      <c r="H887" s="8">
        <v>0.85</v>
      </c>
      <c r="I887" s="4">
        <v>0</v>
      </c>
    </row>
    <row r="888" spans="1:9" x14ac:dyDescent="0.2">
      <c r="A888" s="2">
        <v>6</v>
      </c>
      <c r="B888" s="1" t="s">
        <v>167</v>
      </c>
      <c r="C888" s="4">
        <v>19</v>
      </c>
      <c r="D888" s="8">
        <v>2.66</v>
      </c>
      <c r="E888" s="4">
        <v>19</v>
      </c>
      <c r="F888" s="8">
        <v>4.2</v>
      </c>
      <c r="G888" s="4">
        <v>0</v>
      </c>
      <c r="H888" s="8">
        <v>0</v>
      </c>
      <c r="I888" s="4">
        <v>0</v>
      </c>
    </row>
    <row r="889" spans="1:9" x14ac:dyDescent="0.2">
      <c r="A889" s="2">
        <v>8</v>
      </c>
      <c r="B889" s="1" t="s">
        <v>186</v>
      </c>
      <c r="C889" s="4">
        <v>18</v>
      </c>
      <c r="D889" s="8">
        <v>2.52</v>
      </c>
      <c r="E889" s="4">
        <v>10</v>
      </c>
      <c r="F889" s="8">
        <v>2.21</v>
      </c>
      <c r="G889" s="4">
        <v>8</v>
      </c>
      <c r="H889" s="8">
        <v>3.4</v>
      </c>
      <c r="I889" s="4">
        <v>0</v>
      </c>
    </row>
    <row r="890" spans="1:9" x14ac:dyDescent="0.2">
      <c r="A890" s="2">
        <v>8</v>
      </c>
      <c r="B890" s="1" t="s">
        <v>158</v>
      </c>
      <c r="C890" s="4">
        <v>18</v>
      </c>
      <c r="D890" s="8">
        <v>2.52</v>
      </c>
      <c r="E890" s="4">
        <v>12</v>
      </c>
      <c r="F890" s="8">
        <v>2.65</v>
      </c>
      <c r="G890" s="4">
        <v>6</v>
      </c>
      <c r="H890" s="8">
        <v>2.5499999999999998</v>
      </c>
      <c r="I890" s="4">
        <v>0</v>
      </c>
    </row>
    <row r="891" spans="1:9" x14ac:dyDescent="0.2">
      <c r="A891" s="2">
        <v>8</v>
      </c>
      <c r="B891" s="1" t="s">
        <v>172</v>
      </c>
      <c r="C891" s="4">
        <v>18</v>
      </c>
      <c r="D891" s="8">
        <v>2.52</v>
      </c>
      <c r="E891" s="4">
        <v>18</v>
      </c>
      <c r="F891" s="8">
        <v>3.98</v>
      </c>
      <c r="G891" s="4">
        <v>0</v>
      </c>
      <c r="H891" s="8">
        <v>0</v>
      </c>
      <c r="I891" s="4">
        <v>0</v>
      </c>
    </row>
    <row r="892" spans="1:9" x14ac:dyDescent="0.2">
      <c r="A892" s="2">
        <v>11</v>
      </c>
      <c r="B892" s="1" t="s">
        <v>161</v>
      </c>
      <c r="C892" s="4">
        <v>15</v>
      </c>
      <c r="D892" s="8">
        <v>2.1</v>
      </c>
      <c r="E892" s="4">
        <v>11</v>
      </c>
      <c r="F892" s="8">
        <v>2.4300000000000002</v>
      </c>
      <c r="G892" s="4">
        <v>4</v>
      </c>
      <c r="H892" s="8">
        <v>1.7</v>
      </c>
      <c r="I892" s="4">
        <v>0</v>
      </c>
    </row>
    <row r="893" spans="1:9" x14ac:dyDescent="0.2">
      <c r="A893" s="2">
        <v>12</v>
      </c>
      <c r="B893" s="1" t="s">
        <v>166</v>
      </c>
      <c r="C893" s="4">
        <v>14</v>
      </c>
      <c r="D893" s="8">
        <v>1.96</v>
      </c>
      <c r="E893" s="4">
        <v>13</v>
      </c>
      <c r="F893" s="8">
        <v>2.88</v>
      </c>
      <c r="G893" s="4">
        <v>1</v>
      </c>
      <c r="H893" s="8">
        <v>0.43</v>
      </c>
      <c r="I893" s="4">
        <v>0</v>
      </c>
    </row>
    <row r="894" spans="1:9" x14ac:dyDescent="0.2">
      <c r="A894" s="2">
        <v>13</v>
      </c>
      <c r="B894" s="1" t="s">
        <v>205</v>
      </c>
      <c r="C894" s="4">
        <v>13</v>
      </c>
      <c r="D894" s="8">
        <v>1.82</v>
      </c>
      <c r="E894" s="4">
        <v>7</v>
      </c>
      <c r="F894" s="8">
        <v>1.55</v>
      </c>
      <c r="G894" s="4">
        <v>6</v>
      </c>
      <c r="H894" s="8">
        <v>2.5499999999999998</v>
      </c>
      <c r="I894" s="4">
        <v>0</v>
      </c>
    </row>
    <row r="895" spans="1:9" x14ac:dyDescent="0.2">
      <c r="A895" s="2">
        <v>14</v>
      </c>
      <c r="B895" s="1" t="s">
        <v>155</v>
      </c>
      <c r="C895" s="4">
        <v>12</v>
      </c>
      <c r="D895" s="8">
        <v>1.68</v>
      </c>
      <c r="E895" s="4">
        <v>3</v>
      </c>
      <c r="F895" s="8">
        <v>0.66</v>
      </c>
      <c r="G895" s="4">
        <v>9</v>
      </c>
      <c r="H895" s="8">
        <v>3.83</v>
      </c>
      <c r="I895" s="4">
        <v>0</v>
      </c>
    </row>
    <row r="896" spans="1:9" x14ac:dyDescent="0.2">
      <c r="A896" s="2">
        <v>14</v>
      </c>
      <c r="B896" s="1" t="s">
        <v>226</v>
      </c>
      <c r="C896" s="4">
        <v>12</v>
      </c>
      <c r="D896" s="8">
        <v>1.68</v>
      </c>
      <c r="E896" s="4">
        <v>0</v>
      </c>
      <c r="F896" s="8">
        <v>0</v>
      </c>
      <c r="G896" s="4">
        <v>0</v>
      </c>
      <c r="H896" s="8">
        <v>0</v>
      </c>
      <c r="I896" s="4">
        <v>0</v>
      </c>
    </row>
    <row r="897" spans="1:9" x14ac:dyDescent="0.2">
      <c r="A897" s="2">
        <v>16</v>
      </c>
      <c r="B897" s="1" t="s">
        <v>181</v>
      </c>
      <c r="C897" s="4">
        <v>11</v>
      </c>
      <c r="D897" s="8">
        <v>1.54</v>
      </c>
      <c r="E897" s="4">
        <v>10</v>
      </c>
      <c r="F897" s="8">
        <v>2.21</v>
      </c>
      <c r="G897" s="4">
        <v>1</v>
      </c>
      <c r="H897" s="8">
        <v>0.43</v>
      </c>
      <c r="I897" s="4">
        <v>0</v>
      </c>
    </row>
    <row r="898" spans="1:9" x14ac:dyDescent="0.2">
      <c r="A898" s="2">
        <v>16</v>
      </c>
      <c r="B898" s="1" t="s">
        <v>164</v>
      </c>
      <c r="C898" s="4">
        <v>11</v>
      </c>
      <c r="D898" s="8">
        <v>1.54</v>
      </c>
      <c r="E898" s="4">
        <v>4</v>
      </c>
      <c r="F898" s="8">
        <v>0.88</v>
      </c>
      <c r="G898" s="4">
        <v>7</v>
      </c>
      <c r="H898" s="8">
        <v>2.98</v>
      </c>
      <c r="I898" s="4">
        <v>0</v>
      </c>
    </row>
    <row r="899" spans="1:9" x14ac:dyDescent="0.2">
      <c r="A899" s="2">
        <v>16</v>
      </c>
      <c r="B899" s="1" t="s">
        <v>182</v>
      </c>
      <c r="C899" s="4">
        <v>11</v>
      </c>
      <c r="D899" s="8">
        <v>1.54</v>
      </c>
      <c r="E899" s="4">
        <v>7</v>
      </c>
      <c r="F899" s="8">
        <v>1.55</v>
      </c>
      <c r="G899" s="4">
        <v>4</v>
      </c>
      <c r="H899" s="8">
        <v>1.7</v>
      </c>
      <c r="I899" s="4">
        <v>0</v>
      </c>
    </row>
    <row r="900" spans="1:9" x14ac:dyDescent="0.2">
      <c r="A900" s="2">
        <v>16</v>
      </c>
      <c r="B900" s="1" t="s">
        <v>204</v>
      </c>
      <c r="C900" s="4">
        <v>11</v>
      </c>
      <c r="D900" s="8">
        <v>1.54</v>
      </c>
      <c r="E900" s="4">
        <v>0</v>
      </c>
      <c r="F900" s="8">
        <v>0</v>
      </c>
      <c r="G900" s="4">
        <v>11</v>
      </c>
      <c r="H900" s="8">
        <v>4.68</v>
      </c>
      <c r="I900" s="4">
        <v>0</v>
      </c>
    </row>
    <row r="901" spans="1:9" x14ac:dyDescent="0.2">
      <c r="A901" s="2">
        <v>20</v>
      </c>
      <c r="B901" s="1" t="s">
        <v>208</v>
      </c>
      <c r="C901" s="4">
        <v>10</v>
      </c>
      <c r="D901" s="8">
        <v>1.4</v>
      </c>
      <c r="E901" s="4">
        <v>8</v>
      </c>
      <c r="F901" s="8">
        <v>1.77</v>
      </c>
      <c r="G901" s="4">
        <v>2</v>
      </c>
      <c r="H901" s="8">
        <v>0.85</v>
      </c>
      <c r="I901" s="4">
        <v>0</v>
      </c>
    </row>
    <row r="902" spans="1:9" x14ac:dyDescent="0.2">
      <c r="A902" s="2">
        <v>20</v>
      </c>
      <c r="B902" s="1" t="s">
        <v>168</v>
      </c>
      <c r="C902" s="4">
        <v>10</v>
      </c>
      <c r="D902" s="8">
        <v>1.4</v>
      </c>
      <c r="E902" s="4">
        <v>10</v>
      </c>
      <c r="F902" s="8">
        <v>2.21</v>
      </c>
      <c r="G902" s="4">
        <v>0</v>
      </c>
      <c r="H902" s="8">
        <v>0</v>
      </c>
      <c r="I902" s="4">
        <v>0</v>
      </c>
    </row>
    <row r="903" spans="1:9" x14ac:dyDescent="0.2">
      <c r="A903" s="2">
        <v>20</v>
      </c>
      <c r="B903" s="1" t="s">
        <v>183</v>
      </c>
      <c r="C903" s="4">
        <v>10</v>
      </c>
      <c r="D903" s="8">
        <v>1.4</v>
      </c>
      <c r="E903" s="4">
        <v>9</v>
      </c>
      <c r="F903" s="8">
        <v>1.99</v>
      </c>
      <c r="G903" s="4">
        <v>1</v>
      </c>
      <c r="H903" s="8">
        <v>0.43</v>
      </c>
      <c r="I903" s="4">
        <v>0</v>
      </c>
    </row>
    <row r="904" spans="1:9" x14ac:dyDescent="0.2">
      <c r="A904" s="1"/>
      <c r="C904" s="4"/>
      <c r="D904" s="8"/>
      <c r="E904" s="4"/>
      <c r="F904" s="8"/>
      <c r="G904" s="4"/>
      <c r="H904" s="8"/>
      <c r="I904" s="4"/>
    </row>
    <row r="905" spans="1:9" x14ac:dyDescent="0.2">
      <c r="A905" s="1" t="s">
        <v>40</v>
      </c>
      <c r="C905" s="4"/>
      <c r="D905" s="8"/>
      <c r="E905" s="4"/>
      <c r="F905" s="8"/>
      <c r="G905" s="4"/>
      <c r="H905" s="8"/>
      <c r="I905" s="4"/>
    </row>
    <row r="906" spans="1:9" x14ac:dyDescent="0.2">
      <c r="A906" s="2">
        <v>1</v>
      </c>
      <c r="B906" s="1" t="s">
        <v>170</v>
      </c>
      <c r="C906" s="4">
        <v>61</v>
      </c>
      <c r="D906" s="8">
        <v>4.6100000000000003</v>
      </c>
      <c r="E906" s="4">
        <v>57</v>
      </c>
      <c r="F906" s="8">
        <v>7.5</v>
      </c>
      <c r="G906" s="4">
        <v>4</v>
      </c>
      <c r="H906" s="8">
        <v>0.72</v>
      </c>
      <c r="I906" s="4">
        <v>0</v>
      </c>
    </row>
    <row r="907" spans="1:9" x14ac:dyDescent="0.2">
      <c r="A907" s="2">
        <v>2</v>
      </c>
      <c r="B907" s="1" t="s">
        <v>169</v>
      </c>
      <c r="C907" s="4">
        <v>51</v>
      </c>
      <c r="D907" s="8">
        <v>3.85</v>
      </c>
      <c r="E907" s="4">
        <v>49</v>
      </c>
      <c r="F907" s="8">
        <v>6.45</v>
      </c>
      <c r="G907" s="4">
        <v>2</v>
      </c>
      <c r="H907" s="8">
        <v>0.36</v>
      </c>
      <c r="I907" s="4">
        <v>0</v>
      </c>
    </row>
    <row r="908" spans="1:9" x14ac:dyDescent="0.2">
      <c r="A908" s="2">
        <v>3</v>
      </c>
      <c r="B908" s="1" t="s">
        <v>154</v>
      </c>
      <c r="C908" s="4">
        <v>50</v>
      </c>
      <c r="D908" s="8">
        <v>3.78</v>
      </c>
      <c r="E908" s="4">
        <v>8</v>
      </c>
      <c r="F908" s="8">
        <v>1.05</v>
      </c>
      <c r="G908" s="4">
        <v>42</v>
      </c>
      <c r="H908" s="8">
        <v>7.59</v>
      </c>
      <c r="I908" s="4">
        <v>0</v>
      </c>
    </row>
    <row r="909" spans="1:9" x14ac:dyDescent="0.2">
      <c r="A909" s="2">
        <v>4</v>
      </c>
      <c r="B909" s="1" t="s">
        <v>160</v>
      </c>
      <c r="C909" s="4">
        <v>37</v>
      </c>
      <c r="D909" s="8">
        <v>2.79</v>
      </c>
      <c r="E909" s="4">
        <v>12</v>
      </c>
      <c r="F909" s="8">
        <v>1.58</v>
      </c>
      <c r="G909" s="4">
        <v>25</v>
      </c>
      <c r="H909" s="8">
        <v>4.5199999999999996</v>
      </c>
      <c r="I909" s="4">
        <v>0</v>
      </c>
    </row>
    <row r="910" spans="1:9" x14ac:dyDescent="0.2">
      <c r="A910" s="2">
        <v>5</v>
      </c>
      <c r="B910" s="1" t="s">
        <v>159</v>
      </c>
      <c r="C910" s="4">
        <v>35</v>
      </c>
      <c r="D910" s="8">
        <v>2.64</v>
      </c>
      <c r="E910" s="4">
        <v>25</v>
      </c>
      <c r="F910" s="8">
        <v>3.29</v>
      </c>
      <c r="G910" s="4">
        <v>10</v>
      </c>
      <c r="H910" s="8">
        <v>1.81</v>
      </c>
      <c r="I910" s="4">
        <v>0</v>
      </c>
    </row>
    <row r="911" spans="1:9" x14ac:dyDescent="0.2">
      <c r="A911" s="2">
        <v>6</v>
      </c>
      <c r="B911" s="1" t="s">
        <v>161</v>
      </c>
      <c r="C911" s="4">
        <v>34</v>
      </c>
      <c r="D911" s="8">
        <v>2.57</v>
      </c>
      <c r="E911" s="4">
        <v>25</v>
      </c>
      <c r="F911" s="8">
        <v>3.29</v>
      </c>
      <c r="G911" s="4">
        <v>9</v>
      </c>
      <c r="H911" s="8">
        <v>1.63</v>
      </c>
      <c r="I911" s="4">
        <v>0</v>
      </c>
    </row>
    <row r="912" spans="1:9" x14ac:dyDescent="0.2">
      <c r="A912" s="2">
        <v>6</v>
      </c>
      <c r="B912" s="1" t="s">
        <v>164</v>
      </c>
      <c r="C912" s="4">
        <v>34</v>
      </c>
      <c r="D912" s="8">
        <v>2.57</v>
      </c>
      <c r="E912" s="4">
        <v>16</v>
      </c>
      <c r="F912" s="8">
        <v>2.11</v>
      </c>
      <c r="G912" s="4">
        <v>18</v>
      </c>
      <c r="H912" s="8">
        <v>3.25</v>
      </c>
      <c r="I912" s="4">
        <v>0</v>
      </c>
    </row>
    <row r="913" spans="1:9" x14ac:dyDescent="0.2">
      <c r="A913" s="2">
        <v>8</v>
      </c>
      <c r="B913" s="1" t="s">
        <v>168</v>
      </c>
      <c r="C913" s="4">
        <v>33</v>
      </c>
      <c r="D913" s="8">
        <v>2.4900000000000002</v>
      </c>
      <c r="E913" s="4">
        <v>33</v>
      </c>
      <c r="F913" s="8">
        <v>4.34</v>
      </c>
      <c r="G913" s="4">
        <v>0</v>
      </c>
      <c r="H913" s="8">
        <v>0</v>
      </c>
      <c r="I913" s="4">
        <v>0</v>
      </c>
    </row>
    <row r="914" spans="1:9" x14ac:dyDescent="0.2">
      <c r="A914" s="2">
        <v>9</v>
      </c>
      <c r="B914" s="1" t="s">
        <v>186</v>
      </c>
      <c r="C914" s="4">
        <v>31</v>
      </c>
      <c r="D914" s="8">
        <v>2.34</v>
      </c>
      <c r="E914" s="4">
        <v>18</v>
      </c>
      <c r="F914" s="8">
        <v>2.37</v>
      </c>
      <c r="G914" s="4">
        <v>13</v>
      </c>
      <c r="H914" s="8">
        <v>2.35</v>
      </c>
      <c r="I914" s="4">
        <v>0</v>
      </c>
    </row>
    <row r="915" spans="1:9" x14ac:dyDescent="0.2">
      <c r="A915" s="2">
        <v>9</v>
      </c>
      <c r="B915" s="1" t="s">
        <v>166</v>
      </c>
      <c r="C915" s="4">
        <v>31</v>
      </c>
      <c r="D915" s="8">
        <v>2.34</v>
      </c>
      <c r="E915" s="4">
        <v>29</v>
      </c>
      <c r="F915" s="8">
        <v>3.82</v>
      </c>
      <c r="G915" s="4">
        <v>2</v>
      </c>
      <c r="H915" s="8">
        <v>0.36</v>
      </c>
      <c r="I915" s="4">
        <v>0</v>
      </c>
    </row>
    <row r="916" spans="1:9" x14ac:dyDescent="0.2">
      <c r="A916" s="2">
        <v>11</v>
      </c>
      <c r="B916" s="1" t="s">
        <v>167</v>
      </c>
      <c r="C916" s="4">
        <v>29</v>
      </c>
      <c r="D916" s="8">
        <v>2.19</v>
      </c>
      <c r="E916" s="4">
        <v>29</v>
      </c>
      <c r="F916" s="8">
        <v>3.82</v>
      </c>
      <c r="G916" s="4">
        <v>0</v>
      </c>
      <c r="H916" s="8">
        <v>0</v>
      </c>
      <c r="I916" s="4">
        <v>0</v>
      </c>
    </row>
    <row r="917" spans="1:9" x14ac:dyDescent="0.2">
      <c r="A917" s="2">
        <v>12</v>
      </c>
      <c r="B917" s="1" t="s">
        <v>173</v>
      </c>
      <c r="C917" s="4">
        <v>26</v>
      </c>
      <c r="D917" s="8">
        <v>1.96</v>
      </c>
      <c r="E917" s="4">
        <v>21</v>
      </c>
      <c r="F917" s="8">
        <v>2.76</v>
      </c>
      <c r="G917" s="4">
        <v>5</v>
      </c>
      <c r="H917" s="8">
        <v>0.9</v>
      </c>
      <c r="I917" s="4">
        <v>0</v>
      </c>
    </row>
    <row r="918" spans="1:9" x14ac:dyDescent="0.2">
      <c r="A918" s="2">
        <v>13</v>
      </c>
      <c r="B918" s="1" t="s">
        <v>177</v>
      </c>
      <c r="C918" s="4">
        <v>24</v>
      </c>
      <c r="D918" s="8">
        <v>1.81</v>
      </c>
      <c r="E918" s="4">
        <v>22</v>
      </c>
      <c r="F918" s="8">
        <v>2.89</v>
      </c>
      <c r="G918" s="4">
        <v>2</v>
      </c>
      <c r="H918" s="8">
        <v>0.36</v>
      </c>
      <c r="I918" s="4">
        <v>0</v>
      </c>
    </row>
    <row r="919" spans="1:9" x14ac:dyDescent="0.2">
      <c r="A919" s="2">
        <v>14</v>
      </c>
      <c r="B919" s="1" t="s">
        <v>172</v>
      </c>
      <c r="C919" s="4">
        <v>23</v>
      </c>
      <c r="D919" s="8">
        <v>1.74</v>
      </c>
      <c r="E919" s="4">
        <v>19</v>
      </c>
      <c r="F919" s="8">
        <v>2.5</v>
      </c>
      <c r="G919" s="4">
        <v>4</v>
      </c>
      <c r="H919" s="8">
        <v>0.72</v>
      </c>
      <c r="I919" s="4">
        <v>0</v>
      </c>
    </row>
    <row r="920" spans="1:9" x14ac:dyDescent="0.2">
      <c r="A920" s="2">
        <v>15</v>
      </c>
      <c r="B920" s="1" t="s">
        <v>156</v>
      </c>
      <c r="C920" s="4">
        <v>22</v>
      </c>
      <c r="D920" s="8">
        <v>1.66</v>
      </c>
      <c r="E920" s="4">
        <v>14</v>
      </c>
      <c r="F920" s="8">
        <v>1.84</v>
      </c>
      <c r="G920" s="4">
        <v>8</v>
      </c>
      <c r="H920" s="8">
        <v>1.45</v>
      </c>
      <c r="I920" s="4">
        <v>0</v>
      </c>
    </row>
    <row r="921" spans="1:9" x14ac:dyDescent="0.2">
      <c r="A921" s="2">
        <v>15</v>
      </c>
      <c r="B921" s="1" t="s">
        <v>158</v>
      </c>
      <c r="C921" s="4">
        <v>22</v>
      </c>
      <c r="D921" s="8">
        <v>1.66</v>
      </c>
      <c r="E921" s="4">
        <v>17</v>
      </c>
      <c r="F921" s="8">
        <v>2.2400000000000002</v>
      </c>
      <c r="G921" s="4">
        <v>5</v>
      </c>
      <c r="H921" s="8">
        <v>0.9</v>
      </c>
      <c r="I921" s="4">
        <v>0</v>
      </c>
    </row>
    <row r="922" spans="1:9" x14ac:dyDescent="0.2">
      <c r="A922" s="2">
        <v>17</v>
      </c>
      <c r="B922" s="1" t="s">
        <v>208</v>
      </c>
      <c r="C922" s="4">
        <v>21</v>
      </c>
      <c r="D922" s="8">
        <v>1.59</v>
      </c>
      <c r="E922" s="4">
        <v>13</v>
      </c>
      <c r="F922" s="8">
        <v>1.71</v>
      </c>
      <c r="G922" s="4">
        <v>8</v>
      </c>
      <c r="H922" s="8">
        <v>1.45</v>
      </c>
      <c r="I922" s="4">
        <v>0</v>
      </c>
    </row>
    <row r="923" spans="1:9" x14ac:dyDescent="0.2">
      <c r="A923" s="2">
        <v>18</v>
      </c>
      <c r="B923" s="1" t="s">
        <v>155</v>
      </c>
      <c r="C923" s="4">
        <v>20</v>
      </c>
      <c r="D923" s="8">
        <v>1.51</v>
      </c>
      <c r="E923" s="4">
        <v>5</v>
      </c>
      <c r="F923" s="8">
        <v>0.66</v>
      </c>
      <c r="G923" s="4">
        <v>15</v>
      </c>
      <c r="H923" s="8">
        <v>2.71</v>
      </c>
      <c r="I923" s="4">
        <v>0</v>
      </c>
    </row>
    <row r="924" spans="1:9" x14ac:dyDescent="0.2">
      <c r="A924" s="2">
        <v>19</v>
      </c>
      <c r="B924" s="1" t="s">
        <v>181</v>
      </c>
      <c r="C924" s="4">
        <v>18</v>
      </c>
      <c r="D924" s="8">
        <v>1.36</v>
      </c>
      <c r="E924" s="4">
        <v>15</v>
      </c>
      <c r="F924" s="8">
        <v>1.97</v>
      </c>
      <c r="G924" s="4">
        <v>3</v>
      </c>
      <c r="H924" s="8">
        <v>0.54</v>
      </c>
      <c r="I924" s="4">
        <v>0</v>
      </c>
    </row>
    <row r="925" spans="1:9" x14ac:dyDescent="0.2">
      <c r="A925" s="2">
        <v>20</v>
      </c>
      <c r="B925" s="1" t="s">
        <v>203</v>
      </c>
      <c r="C925" s="4">
        <v>17</v>
      </c>
      <c r="D925" s="8">
        <v>1.28</v>
      </c>
      <c r="E925" s="4">
        <v>8</v>
      </c>
      <c r="F925" s="8">
        <v>1.05</v>
      </c>
      <c r="G925" s="4">
        <v>9</v>
      </c>
      <c r="H925" s="8">
        <v>1.63</v>
      </c>
      <c r="I925" s="4">
        <v>0</v>
      </c>
    </row>
    <row r="926" spans="1:9" x14ac:dyDescent="0.2">
      <c r="A926" s="2">
        <v>20</v>
      </c>
      <c r="B926" s="1" t="s">
        <v>157</v>
      </c>
      <c r="C926" s="4">
        <v>17</v>
      </c>
      <c r="D926" s="8">
        <v>1.28</v>
      </c>
      <c r="E926" s="4">
        <v>9</v>
      </c>
      <c r="F926" s="8">
        <v>1.18</v>
      </c>
      <c r="G926" s="4">
        <v>8</v>
      </c>
      <c r="H926" s="8">
        <v>1.45</v>
      </c>
      <c r="I926" s="4">
        <v>0</v>
      </c>
    </row>
    <row r="927" spans="1:9" x14ac:dyDescent="0.2">
      <c r="A927" s="2">
        <v>20</v>
      </c>
      <c r="B927" s="1" t="s">
        <v>205</v>
      </c>
      <c r="C927" s="4">
        <v>17</v>
      </c>
      <c r="D927" s="8">
        <v>1.28</v>
      </c>
      <c r="E927" s="4">
        <v>5</v>
      </c>
      <c r="F927" s="8">
        <v>0.66</v>
      </c>
      <c r="G927" s="4">
        <v>12</v>
      </c>
      <c r="H927" s="8">
        <v>2.17</v>
      </c>
      <c r="I927" s="4">
        <v>0</v>
      </c>
    </row>
    <row r="928" spans="1:9" x14ac:dyDescent="0.2">
      <c r="A928" s="2">
        <v>20</v>
      </c>
      <c r="B928" s="1" t="s">
        <v>165</v>
      </c>
      <c r="C928" s="4">
        <v>17</v>
      </c>
      <c r="D928" s="8">
        <v>1.28</v>
      </c>
      <c r="E928" s="4">
        <v>7</v>
      </c>
      <c r="F928" s="8">
        <v>0.92</v>
      </c>
      <c r="G928" s="4">
        <v>10</v>
      </c>
      <c r="H928" s="8">
        <v>1.81</v>
      </c>
      <c r="I928" s="4">
        <v>0</v>
      </c>
    </row>
    <row r="929" spans="1:9" x14ac:dyDescent="0.2">
      <c r="A929" s="2">
        <v>20</v>
      </c>
      <c r="B929" s="1" t="s">
        <v>182</v>
      </c>
      <c r="C929" s="4">
        <v>17</v>
      </c>
      <c r="D929" s="8">
        <v>1.28</v>
      </c>
      <c r="E929" s="4">
        <v>9</v>
      </c>
      <c r="F929" s="8">
        <v>1.18</v>
      </c>
      <c r="G929" s="4">
        <v>8</v>
      </c>
      <c r="H929" s="8">
        <v>1.45</v>
      </c>
      <c r="I929" s="4">
        <v>0</v>
      </c>
    </row>
    <row r="930" spans="1:9" x14ac:dyDescent="0.2">
      <c r="A930" s="1"/>
      <c r="C930" s="4"/>
      <c r="D930" s="8"/>
      <c r="E930" s="4"/>
      <c r="F930" s="8"/>
      <c r="G930" s="4"/>
      <c r="H930" s="8"/>
      <c r="I930" s="4"/>
    </row>
    <row r="931" spans="1:9" x14ac:dyDescent="0.2">
      <c r="A931" s="1" t="s">
        <v>41</v>
      </c>
      <c r="C931" s="4"/>
      <c r="D931" s="8"/>
      <c r="E931" s="4"/>
      <c r="F931" s="8"/>
      <c r="G931" s="4"/>
      <c r="H931" s="8"/>
      <c r="I931" s="4"/>
    </row>
    <row r="932" spans="1:9" x14ac:dyDescent="0.2">
      <c r="A932" s="2">
        <v>1</v>
      </c>
      <c r="B932" s="1" t="s">
        <v>170</v>
      </c>
      <c r="C932" s="4">
        <v>54</v>
      </c>
      <c r="D932" s="8">
        <v>6.12</v>
      </c>
      <c r="E932" s="4">
        <v>54</v>
      </c>
      <c r="F932" s="8">
        <v>9.36</v>
      </c>
      <c r="G932" s="4">
        <v>0</v>
      </c>
      <c r="H932" s="8">
        <v>0</v>
      </c>
      <c r="I932" s="4">
        <v>0</v>
      </c>
    </row>
    <row r="933" spans="1:9" x14ac:dyDescent="0.2">
      <c r="A933" s="2">
        <v>2</v>
      </c>
      <c r="B933" s="1" t="s">
        <v>154</v>
      </c>
      <c r="C933" s="4">
        <v>45</v>
      </c>
      <c r="D933" s="8">
        <v>5.0999999999999996</v>
      </c>
      <c r="E933" s="4">
        <v>12</v>
      </c>
      <c r="F933" s="8">
        <v>2.08</v>
      </c>
      <c r="G933" s="4">
        <v>33</v>
      </c>
      <c r="H933" s="8">
        <v>11.19</v>
      </c>
      <c r="I933" s="4">
        <v>0</v>
      </c>
    </row>
    <row r="934" spans="1:9" x14ac:dyDescent="0.2">
      <c r="A934" s="2">
        <v>3</v>
      </c>
      <c r="B934" s="1" t="s">
        <v>186</v>
      </c>
      <c r="C934" s="4">
        <v>31</v>
      </c>
      <c r="D934" s="8">
        <v>3.51</v>
      </c>
      <c r="E934" s="4">
        <v>27</v>
      </c>
      <c r="F934" s="8">
        <v>4.68</v>
      </c>
      <c r="G934" s="4">
        <v>4</v>
      </c>
      <c r="H934" s="8">
        <v>1.36</v>
      </c>
      <c r="I934" s="4">
        <v>0</v>
      </c>
    </row>
    <row r="935" spans="1:9" x14ac:dyDescent="0.2">
      <c r="A935" s="2">
        <v>4</v>
      </c>
      <c r="B935" s="1" t="s">
        <v>159</v>
      </c>
      <c r="C935" s="4">
        <v>29</v>
      </c>
      <c r="D935" s="8">
        <v>3.28</v>
      </c>
      <c r="E935" s="4">
        <v>24</v>
      </c>
      <c r="F935" s="8">
        <v>4.16</v>
      </c>
      <c r="G935" s="4">
        <v>5</v>
      </c>
      <c r="H935" s="8">
        <v>1.69</v>
      </c>
      <c r="I935" s="4">
        <v>0</v>
      </c>
    </row>
    <row r="936" spans="1:9" x14ac:dyDescent="0.2">
      <c r="A936" s="2">
        <v>4</v>
      </c>
      <c r="B936" s="1" t="s">
        <v>169</v>
      </c>
      <c r="C936" s="4">
        <v>29</v>
      </c>
      <c r="D936" s="8">
        <v>3.28</v>
      </c>
      <c r="E936" s="4">
        <v>29</v>
      </c>
      <c r="F936" s="8">
        <v>5.03</v>
      </c>
      <c r="G936" s="4">
        <v>0</v>
      </c>
      <c r="H936" s="8">
        <v>0</v>
      </c>
      <c r="I936" s="4">
        <v>0</v>
      </c>
    </row>
    <row r="937" spans="1:9" x14ac:dyDescent="0.2">
      <c r="A937" s="2">
        <v>6</v>
      </c>
      <c r="B937" s="1" t="s">
        <v>172</v>
      </c>
      <c r="C937" s="4">
        <v>27</v>
      </c>
      <c r="D937" s="8">
        <v>3.06</v>
      </c>
      <c r="E937" s="4">
        <v>27</v>
      </c>
      <c r="F937" s="8">
        <v>4.68</v>
      </c>
      <c r="G937" s="4">
        <v>0</v>
      </c>
      <c r="H937" s="8">
        <v>0</v>
      </c>
      <c r="I937" s="4">
        <v>0</v>
      </c>
    </row>
    <row r="938" spans="1:9" x14ac:dyDescent="0.2">
      <c r="A938" s="2">
        <v>7</v>
      </c>
      <c r="B938" s="1" t="s">
        <v>164</v>
      </c>
      <c r="C938" s="4">
        <v>25</v>
      </c>
      <c r="D938" s="8">
        <v>2.83</v>
      </c>
      <c r="E938" s="4">
        <v>15</v>
      </c>
      <c r="F938" s="8">
        <v>2.6</v>
      </c>
      <c r="G938" s="4">
        <v>10</v>
      </c>
      <c r="H938" s="8">
        <v>3.39</v>
      </c>
      <c r="I938" s="4">
        <v>0</v>
      </c>
    </row>
    <row r="939" spans="1:9" x14ac:dyDescent="0.2">
      <c r="A939" s="2">
        <v>8</v>
      </c>
      <c r="B939" s="1" t="s">
        <v>158</v>
      </c>
      <c r="C939" s="4">
        <v>24</v>
      </c>
      <c r="D939" s="8">
        <v>2.72</v>
      </c>
      <c r="E939" s="4">
        <v>21</v>
      </c>
      <c r="F939" s="8">
        <v>3.64</v>
      </c>
      <c r="G939" s="4">
        <v>3</v>
      </c>
      <c r="H939" s="8">
        <v>1.02</v>
      </c>
      <c r="I939" s="4">
        <v>0</v>
      </c>
    </row>
    <row r="940" spans="1:9" x14ac:dyDescent="0.2">
      <c r="A940" s="2">
        <v>9</v>
      </c>
      <c r="B940" s="1" t="s">
        <v>161</v>
      </c>
      <c r="C940" s="4">
        <v>18</v>
      </c>
      <c r="D940" s="8">
        <v>2.04</v>
      </c>
      <c r="E940" s="4">
        <v>16</v>
      </c>
      <c r="F940" s="8">
        <v>2.77</v>
      </c>
      <c r="G940" s="4">
        <v>2</v>
      </c>
      <c r="H940" s="8">
        <v>0.68</v>
      </c>
      <c r="I940" s="4">
        <v>0</v>
      </c>
    </row>
    <row r="941" spans="1:9" x14ac:dyDescent="0.2">
      <c r="A941" s="2">
        <v>9</v>
      </c>
      <c r="B941" s="1" t="s">
        <v>173</v>
      </c>
      <c r="C941" s="4">
        <v>18</v>
      </c>
      <c r="D941" s="8">
        <v>2.04</v>
      </c>
      <c r="E941" s="4">
        <v>16</v>
      </c>
      <c r="F941" s="8">
        <v>2.77</v>
      </c>
      <c r="G941" s="4">
        <v>2</v>
      </c>
      <c r="H941" s="8">
        <v>0.68</v>
      </c>
      <c r="I941" s="4">
        <v>0</v>
      </c>
    </row>
    <row r="942" spans="1:9" x14ac:dyDescent="0.2">
      <c r="A942" s="2">
        <v>11</v>
      </c>
      <c r="B942" s="1" t="s">
        <v>155</v>
      </c>
      <c r="C942" s="4">
        <v>17</v>
      </c>
      <c r="D942" s="8">
        <v>1.93</v>
      </c>
      <c r="E942" s="4">
        <v>8</v>
      </c>
      <c r="F942" s="8">
        <v>1.39</v>
      </c>
      <c r="G942" s="4">
        <v>9</v>
      </c>
      <c r="H942" s="8">
        <v>3.05</v>
      </c>
      <c r="I942" s="4">
        <v>0</v>
      </c>
    </row>
    <row r="943" spans="1:9" x14ac:dyDescent="0.2">
      <c r="A943" s="2">
        <v>12</v>
      </c>
      <c r="B943" s="1" t="s">
        <v>156</v>
      </c>
      <c r="C943" s="4">
        <v>14</v>
      </c>
      <c r="D943" s="8">
        <v>1.59</v>
      </c>
      <c r="E943" s="4">
        <v>9</v>
      </c>
      <c r="F943" s="8">
        <v>1.56</v>
      </c>
      <c r="G943" s="4">
        <v>5</v>
      </c>
      <c r="H943" s="8">
        <v>1.69</v>
      </c>
      <c r="I943" s="4">
        <v>0</v>
      </c>
    </row>
    <row r="944" spans="1:9" x14ac:dyDescent="0.2">
      <c r="A944" s="2">
        <v>12</v>
      </c>
      <c r="B944" s="1" t="s">
        <v>177</v>
      </c>
      <c r="C944" s="4">
        <v>14</v>
      </c>
      <c r="D944" s="8">
        <v>1.59</v>
      </c>
      <c r="E944" s="4">
        <v>11</v>
      </c>
      <c r="F944" s="8">
        <v>1.91</v>
      </c>
      <c r="G944" s="4">
        <v>2</v>
      </c>
      <c r="H944" s="8">
        <v>0.68</v>
      </c>
      <c r="I944" s="4">
        <v>1</v>
      </c>
    </row>
    <row r="945" spans="1:9" x14ac:dyDescent="0.2">
      <c r="A945" s="2">
        <v>12</v>
      </c>
      <c r="B945" s="1" t="s">
        <v>171</v>
      </c>
      <c r="C945" s="4">
        <v>14</v>
      </c>
      <c r="D945" s="8">
        <v>1.59</v>
      </c>
      <c r="E945" s="4">
        <v>14</v>
      </c>
      <c r="F945" s="8">
        <v>2.4300000000000002</v>
      </c>
      <c r="G945" s="4">
        <v>0</v>
      </c>
      <c r="H945" s="8">
        <v>0</v>
      </c>
      <c r="I945" s="4">
        <v>0</v>
      </c>
    </row>
    <row r="946" spans="1:9" x14ac:dyDescent="0.2">
      <c r="A946" s="2">
        <v>15</v>
      </c>
      <c r="B946" s="1" t="s">
        <v>203</v>
      </c>
      <c r="C946" s="4">
        <v>13</v>
      </c>
      <c r="D946" s="8">
        <v>1.47</v>
      </c>
      <c r="E946" s="4">
        <v>9</v>
      </c>
      <c r="F946" s="8">
        <v>1.56</v>
      </c>
      <c r="G946" s="4">
        <v>4</v>
      </c>
      <c r="H946" s="8">
        <v>1.36</v>
      </c>
      <c r="I946" s="4">
        <v>0</v>
      </c>
    </row>
    <row r="947" spans="1:9" x14ac:dyDescent="0.2">
      <c r="A947" s="2">
        <v>15</v>
      </c>
      <c r="B947" s="1" t="s">
        <v>160</v>
      </c>
      <c r="C947" s="4">
        <v>13</v>
      </c>
      <c r="D947" s="8">
        <v>1.47</v>
      </c>
      <c r="E947" s="4">
        <v>5</v>
      </c>
      <c r="F947" s="8">
        <v>0.87</v>
      </c>
      <c r="G947" s="4">
        <v>8</v>
      </c>
      <c r="H947" s="8">
        <v>2.71</v>
      </c>
      <c r="I947" s="4">
        <v>0</v>
      </c>
    </row>
    <row r="948" spans="1:9" x14ac:dyDescent="0.2">
      <c r="A948" s="2">
        <v>15</v>
      </c>
      <c r="B948" s="1" t="s">
        <v>205</v>
      </c>
      <c r="C948" s="4">
        <v>13</v>
      </c>
      <c r="D948" s="8">
        <v>1.47</v>
      </c>
      <c r="E948" s="4">
        <v>4</v>
      </c>
      <c r="F948" s="8">
        <v>0.69</v>
      </c>
      <c r="G948" s="4">
        <v>9</v>
      </c>
      <c r="H948" s="8">
        <v>3.05</v>
      </c>
      <c r="I948" s="4">
        <v>0</v>
      </c>
    </row>
    <row r="949" spans="1:9" x14ac:dyDescent="0.2">
      <c r="A949" s="2">
        <v>18</v>
      </c>
      <c r="B949" s="1" t="s">
        <v>181</v>
      </c>
      <c r="C949" s="4">
        <v>11</v>
      </c>
      <c r="D949" s="8">
        <v>1.25</v>
      </c>
      <c r="E949" s="4">
        <v>11</v>
      </c>
      <c r="F949" s="8">
        <v>1.91</v>
      </c>
      <c r="G949" s="4">
        <v>0</v>
      </c>
      <c r="H949" s="8">
        <v>0</v>
      </c>
      <c r="I949" s="4">
        <v>0</v>
      </c>
    </row>
    <row r="950" spans="1:9" x14ac:dyDescent="0.2">
      <c r="A950" s="2">
        <v>19</v>
      </c>
      <c r="B950" s="1" t="s">
        <v>194</v>
      </c>
      <c r="C950" s="4">
        <v>10</v>
      </c>
      <c r="D950" s="8">
        <v>1.1299999999999999</v>
      </c>
      <c r="E950" s="4">
        <v>2</v>
      </c>
      <c r="F950" s="8">
        <v>0.35</v>
      </c>
      <c r="G950" s="4">
        <v>8</v>
      </c>
      <c r="H950" s="8">
        <v>2.71</v>
      </c>
      <c r="I950" s="4">
        <v>0</v>
      </c>
    </row>
    <row r="951" spans="1:9" x14ac:dyDescent="0.2">
      <c r="A951" s="2">
        <v>19</v>
      </c>
      <c r="B951" s="1" t="s">
        <v>157</v>
      </c>
      <c r="C951" s="4">
        <v>10</v>
      </c>
      <c r="D951" s="8">
        <v>1.1299999999999999</v>
      </c>
      <c r="E951" s="4">
        <v>6</v>
      </c>
      <c r="F951" s="8">
        <v>1.04</v>
      </c>
      <c r="G951" s="4">
        <v>4</v>
      </c>
      <c r="H951" s="8">
        <v>1.36</v>
      </c>
      <c r="I951" s="4">
        <v>0</v>
      </c>
    </row>
    <row r="952" spans="1:9" x14ac:dyDescent="0.2">
      <c r="A952" s="2">
        <v>19</v>
      </c>
      <c r="B952" s="1" t="s">
        <v>225</v>
      </c>
      <c r="C952" s="4">
        <v>10</v>
      </c>
      <c r="D952" s="8">
        <v>1.1299999999999999</v>
      </c>
      <c r="E952" s="4">
        <v>2</v>
      </c>
      <c r="F952" s="8">
        <v>0.35</v>
      </c>
      <c r="G952" s="4">
        <v>8</v>
      </c>
      <c r="H952" s="8">
        <v>2.71</v>
      </c>
      <c r="I952" s="4">
        <v>0</v>
      </c>
    </row>
    <row r="953" spans="1:9" x14ac:dyDescent="0.2">
      <c r="A953" s="2">
        <v>19</v>
      </c>
      <c r="B953" s="1" t="s">
        <v>163</v>
      </c>
      <c r="C953" s="4">
        <v>10</v>
      </c>
      <c r="D953" s="8">
        <v>1.1299999999999999</v>
      </c>
      <c r="E953" s="4">
        <v>1</v>
      </c>
      <c r="F953" s="8">
        <v>0.17</v>
      </c>
      <c r="G953" s="4">
        <v>9</v>
      </c>
      <c r="H953" s="8">
        <v>3.05</v>
      </c>
      <c r="I953" s="4">
        <v>0</v>
      </c>
    </row>
    <row r="954" spans="1:9" x14ac:dyDescent="0.2">
      <c r="A954" s="2">
        <v>19</v>
      </c>
      <c r="B954" s="1" t="s">
        <v>166</v>
      </c>
      <c r="C954" s="4">
        <v>10</v>
      </c>
      <c r="D954" s="8">
        <v>1.1299999999999999</v>
      </c>
      <c r="E954" s="4">
        <v>10</v>
      </c>
      <c r="F954" s="8">
        <v>1.73</v>
      </c>
      <c r="G954" s="4">
        <v>0</v>
      </c>
      <c r="H954" s="8">
        <v>0</v>
      </c>
      <c r="I954" s="4">
        <v>0</v>
      </c>
    </row>
    <row r="955" spans="1:9" x14ac:dyDescent="0.2">
      <c r="A955" s="2">
        <v>19</v>
      </c>
      <c r="B955" s="1" t="s">
        <v>167</v>
      </c>
      <c r="C955" s="4">
        <v>10</v>
      </c>
      <c r="D955" s="8">
        <v>1.1299999999999999</v>
      </c>
      <c r="E955" s="4">
        <v>10</v>
      </c>
      <c r="F955" s="8">
        <v>1.73</v>
      </c>
      <c r="G955" s="4">
        <v>0</v>
      </c>
      <c r="H955" s="8">
        <v>0</v>
      </c>
      <c r="I955" s="4">
        <v>0</v>
      </c>
    </row>
    <row r="956" spans="1:9" x14ac:dyDescent="0.2">
      <c r="A956" s="2">
        <v>19</v>
      </c>
      <c r="B956" s="1" t="s">
        <v>220</v>
      </c>
      <c r="C956" s="4">
        <v>10</v>
      </c>
      <c r="D956" s="8">
        <v>1.1299999999999999</v>
      </c>
      <c r="E956" s="4">
        <v>8</v>
      </c>
      <c r="F956" s="8">
        <v>1.39</v>
      </c>
      <c r="G956" s="4">
        <v>2</v>
      </c>
      <c r="H956" s="8">
        <v>0.68</v>
      </c>
      <c r="I956" s="4">
        <v>0</v>
      </c>
    </row>
    <row r="957" spans="1:9" x14ac:dyDescent="0.2">
      <c r="A957" s="1"/>
      <c r="C957" s="4"/>
      <c r="D957" s="8"/>
      <c r="E957" s="4"/>
      <c r="F957" s="8"/>
      <c r="G957" s="4"/>
      <c r="H957" s="8"/>
      <c r="I957" s="4"/>
    </row>
    <row r="958" spans="1:9" x14ac:dyDescent="0.2">
      <c r="A958" s="1" t="s">
        <v>42</v>
      </c>
      <c r="C958" s="4"/>
      <c r="D958" s="8"/>
      <c r="E958" s="4"/>
      <c r="F958" s="8"/>
      <c r="G958" s="4"/>
      <c r="H958" s="8"/>
      <c r="I958" s="4"/>
    </row>
    <row r="959" spans="1:9" x14ac:dyDescent="0.2">
      <c r="A959" s="2">
        <v>1</v>
      </c>
      <c r="B959" s="1" t="s">
        <v>170</v>
      </c>
      <c r="C959" s="4">
        <v>83</v>
      </c>
      <c r="D959" s="8">
        <v>4.74</v>
      </c>
      <c r="E959" s="4">
        <v>75</v>
      </c>
      <c r="F959" s="8">
        <v>7.32</v>
      </c>
      <c r="G959" s="4">
        <v>8</v>
      </c>
      <c r="H959" s="8">
        <v>1.1399999999999999</v>
      </c>
      <c r="I959" s="4">
        <v>0</v>
      </c>
    </row>
    <row r="960" spans="1:9" x14ac:dyDescent="0.2">
      <c r="A960" s="2">
        <v>2</v>
      </c>
      <c r="B960" s="1" t="s">
        <v>166</v>
      </c>
      <c r="C960" s="4">
        <v>64</v>
      </c>
      <c r="D960" s="8">
        <v>3.65</v>
      </c>
      <c r="E960" s="4">
        <v>50</v>
      </c>
      <c r="F960" s="8">
        <v>4.88</v>
      </c>
      <c r="G960" s="4">
        <v>14</v>
      </c>
      <c r="H960" s="8">
        <v>1.99</v>
      </c>
      <c r="I960" s="4">
        <v>0</v>
      </c>
    </row>
    <row r="961" spans="1:9" x14ac:dyDescent="0.2">
      <c r="A961" s="2">
        <v>3</v>
      </c>
      <c r="B961" s="1" t="s">
        <v>169</v>
      </c>
      <c r="C961" s="4">
        <v>56</v>
      </c>
      <c r="D961" s="8">
        <v>3.2</v>
      </c>
      <c r="E961" s="4">
        <v>50</v>
      </c>
      <c r="F961" s="8">
        <v>4.88</v>
      </c>
      <c r="G961" s="4">
        <v>6</v>
      </c>
      <c r="H961" s="8">
        <v>0.85</v>
      </c>
      <c r="I961" s="4">
        <v>0</v>
      </c>
    </row>
    <row r="962" spans="1:9" x14ac:dyDescent="0.2">
      <c r="A962" s="2">
        <v>4</v>
      </c>
      <c r="B962" s="1" t="s">
        <v>154</v>
      </c>
      <c r="C962" s="4">
        <v>50</v>
      </c>
      <c r="D962" s="8">
        <v>2.85</v>
      </c>
      <c r="E962" s="4">
        <v>14</v>
      </c>
      <c r="F962" s="8">
        <v>1.37</v>
      </c>
      <c r="G962" s="4">
        <v>36</v>
      </c>
      <c r="H962" s="8">
        <v>5.1100000000000003</v>
      </c>
      <c r="I962" s="4">
        <v>0</v>
      </c>
    </row>
    <row r="963" spans="1:9" x14ac:dyDescent="0.2">
      <c r="A963" s="2">
        <v>5</v>
      </c>
      <c r="B963" s="1" t="s">
        <v>172</v>
      </c>
      <c r="C963" s="4">
        <v>48</v>
      </c>
      <c r="D963" s="8">
        <v>2.74</v>
      </c>
      <c r="E963" s="4">
        <v>44</v>
      </c>
      <c r="F963" s="8">
        <v>4.3</v>
      </c>
      <c r="G963" s="4">
        <v>4</v>
      </c>
      <c r="H963" s="8">
        <v>0.56999999999999995</v>
      </c>
      <c r="I963" s="4">
        <v>0</v>
      </c>
    </row>
    <row r="964" spans="1:9" x14ac:dyDescent="0.2">
      <c r="A964" s="2">
        <v>6</v>
      </c>
      <c r="B964" s="1" t="s">
        <v>177</v>
      </c>
      <c r="C964" s="4">
        <v>46</v>
      </c>
      <c r="D964" s="8">
        <v>2.63</v>
      </c>
      <c r="E964" s="4">
        <v>40</v>
      </c>
      <c r="F964" s="8">
        <v>3.91</v>
      </c>
      <c r="G964" s="4">
        <v>6</v>
      </c>
      <c r="H964" s="8">
        <v>0.85</v>
      </c>
      <c r="I964" s="4">
        <v>0</v>
      </c>
    </row>
    <row r="965" spans="1:9" x14ac:dyDescent="0.2">
      <c r="A965" s="2">
        <v>7</v>
      </c>
      <c r="B965" s="1" t="s">
        <v>159</v>
      </c>
      <c r="C965" s="4">
        <v>45</v>
      </c>
      <c r="D965" s="8">
        <v>2.57</v>
      </c>
      <c r="E965" s="4">
        <v>30</v>
      </c>
      <c r="F965" s="8">
        <v>2.93</v>
      </c>
      <c r="G965" s="4">
        <v>15</v>
      </c>
      <c r="H965" s="8">
        <v>2.13</v>
      </c>
      <c r="I965" s="4">
        <v>0</v>
      </c>
    </row>
    <row r="966" spans="1:9" x14ac:dyDescent="0.2">
      <c r="A966" s="2">
        <v>8</v>
      </c>
      <c r="B966" s="1" t="s">
        <v>171</v>
      </c>
      <c r="C966" s="4">
        <v>44</v>
      </c>
      <c r="D966" s="8">
        <v>2.5099999999999998</v>
      </c>
      <c r="E966" s="4">
        <v>32</v>
      </c>
      <c r="F966" s="8">
        <v>3.13</v>
      </c>
      <c r="G966" s="4">
        <v>12</v>
      </c>
      <c r="H966" s="8">
        <v>1.7</v>
      </c>
      <c r="I966" s="4">
        <v>0</v>
      </c>
    </row>
    <row r="967" spans="1:9" x14ac:dyDescent="0.2">
      <c r="A967" s="2">
        <v>9</v>
      </c>
      <c r="B967" s="1" t="s">
        <v>158</v>
      </c>
      <c r="C967" s="4">
        <v>41</v>
      </c>
      <c r="D967" s="8">
        <v>2.34</v>
      </c>
      <c r="E967" s="4">
        <v>34</v>
      </c>
      <c r="F967" s="8">
        <v>3.32</v>
      </c>
      <c r="G967" s="4">
        <v>7</v>
      </c>
      <c r="H967" s="8">
        <v>0.99</v>
      </c>
      <c r="I967" s="4">
        <v>0</v>
      </c>
    </row>
    <row r="968" spans="1:9" x14ac:dyDescent="0.2">
      <c r="A968" s="2">
        <v>10</v>
      </c>
      <c r="B968" s="1" t="s">
        <v>186</v>
      </c>
      <c r="C968" s="4">
        <v>38</v>
      </c>
      <c r="D968" s="8">
        <v>2.17</v>
      </c>
      <c r="E968" s="4">
        <v>27</v>
      </c>
      <c r="F968" s="8">
        <v>2.64</v>
      </c>
      <c r="G968" s="4">
        <v>11</v>
      </c>
      <c r="H968" s="8">
        <v>1.56</v>
      </c>
      <c r="I968" s="4">
        <v>0</v>
      </c>
    </row>
    <row r="969" spans="1:9" x14ac:dyDescent="0.2">
      <c r="A969" s="2">
        <v>11</v>
      </c>
      <c r="B969" s="1" t="s">
        <v>161</v>
      </c>
      <c r="C969" s="4">
        <v>37</v>
      </c>
      <c r="D969" s="8">
        <v>2.11</v>
      </c>
      <c r="E969" s="4">
        <v>30</v>
      </c>
      <c r="F969" s="8">
        <v>2.93</v>
      </c>
      <c r="G969" s="4">
        <v>7</v>
      </c>
      <c r="H969" s="8">
        <v>0.99</v>
      </c>
      <c r="I969" s="4">
        <v>0</v>
      </c>
    </row>
    <row r="970" spans="1:9" x14ac:dyDescent="0.2">
      <c r="A970" s="2">
        <v>11</v>
      </c>
      <c r="B970" s="1" t="s">
        <v>164</v>
      </c>
      <c r="C970" s="4">
        <v>37</v>
      </c>
      <c r="D970" s="8">
        <v>2.11</v>
      </c>
      <c r="E970" s="4">
        <v>12</v>
      </c>
      <c r="F970" s="8">
        <v>1.17</v>
      </c>
      <c r="G970" s="4">
        <v>25</v>
      </c>
      <c r="H970" s="8">
        <v>3.55</v>
      </c>
      <c r="I970" s="4">
        <v>0</v>
      </c>
    </row>
    <row r="971" spans="1:9" x14ac:dyDescent="0.2">
      <c r="A971" s="2">
        <v>13</v>
      </c>
      <c r="B971" s="1" t="s">
        <v>155</v>
      </c>
      <c r="C971" s="4">
        <v>33</v>
      </c>
      <c r="D971" s="8">
        <v>1.88</v>
      </c>
      <c r="E971" s="4">
        <v>10</v>
      </c>
      <c r="F971" s="8">
        <v>0.98</v>
      </c>
      <c r="G971" s="4">
        <v>23</v>
      </c>
      <c r="H971" s="8">
        <v>3.27</v>
      </c>
      <c r="I971" s="4">
        <v>0</v>
      </c>
    </row>
    <row r="972" spans="1:9" x14ac:dyDescent="0.2">
      <c r="A972" s="2">
        <v>13</v>
      </c>
      <c r="B972" s="1" t="s">
        <v>156</v>
      </c>
      <c r="C972" s="4">
        <v>33</v>
      </c>
      <c r="D972" s="8">
        <v>1.88</v>
      </c>
      <c r="E972" s="4">
        <v>15</v>
      </c>
      <c r="F972" s="8">
        <v>1.46</v>
      </c>
      <c r="G972" s="4">
        <v>18</v>
      </c>
      <c r="H972" s="8">
        <v>2.56</v>
      </c>
      <c r="I972" s="4">
        <v>0</v>
      </c>
    </row>
    <row r="973" spans="1:9" x14ac:dyDescent="0.2">
      <c r="A973" s="2">
        <v>13</v>
      </c>
      <c r="B973" s="1" t="s">
        <v>160</v>
      </c>
      <c r="C973" s="4">
        <v>33</v>
      </c>
      <c r="D973" s="8">
        <v>1.88</v>
      </c>
      <c r="E973" s="4">
        <v>13</v>
      </c>
      <c r="F973" s="8">
        <v>1.27</v>
      </c>
      <c r="G973" s="4">
        <v>20</v>
      </c>
      <c r="H973" s="8">
        <v>2.84</v>
      </c>
      <c r="I973" s="4">
        <v>0</v>
      </c>
    </row>
    <row r="974" spans="1:9" x14ac:dyDescent="0.2">
      <c r="A974" s="2">
        <v>16</v>
      </c>
      <c r="B974" s="1" t="s">
        <v>167</v>
      </c>
      <c r="C974" s="4">
        <v>32</v>
      </c>
      <c r="D974" s="8">
        <v>1.83</v>
      </c>
      <c r="E974" s="4">
        <v>29</v>
      </c>
      <c r="F974" s="8">
        <v>2.83</v>
      </c>
      <c r="G974" s="4">
        <v>3</v>
      </c>
      <c r="H974" s="8">
        <v>0.43</v>
      </c>
      <c r="I974" s="4">
        <v>0</v>
      </c>
    </row>
    <row r="975" spans="1:9" x14ac:dyDescent="0.2">
      <c r="A975" s="2">
        <v>17</v>
      </c>
      <c r="B975" s="1" t="s">
        <v>174</v>
      </c>
      <c r="C975" s="4">
        <v>31</v>
      </c>
      <c r="D975" s="8">
        <v>1.77</v>
      </c>
      <c r="E975" s="4">
        <v>16</v>
      </c>
      <c r="F975" s="8">
        <v>1.56</v>
      </c>
      <c r="G975" s="4">
        <v>15</v>
      </c>
      <c r="H975" s="8">
        <v>2.13</v>
      </c>
      <c r="I975" s="4">
        <v>0</v>
      </c>
    </row>
    <row r="976" spans="1:9" x14ac:dyDescent="0.2">
      <c r="A976" s="2">
        <v>18</v>
      </c>
      <c r="B976" s="1" t="s">
        <v>168</v>
      </c>
      <c r="C976" s="4">
        <v>30</v>
      </c>
      <c r="D976" s="8">
        <v>1.71</v>
      </c>
      <c r="E976" s="4">
        <v>29</v>
      </c>
      <c r="F976" s="8">
        <v>2.83</v>
      </c>
      <c r="G976" s="4">
        <v>1</v>
      </c>
      <c r="H976" s="8">
        <v>0.14000000000000001</v>
      </c>
      <c r="I976" s="4">
        <v>0</v>
      </c>
    </row>
    <row r="977" spans="1:9" x14ac:dyDescent="0.2">
      <c r="A977" s="2">
        <v>19</v>
      </c>
      <c r="B977" s="1" t="s">
        <v>227</v>
      </c>
      <c r="C977" s="4">
        <v>26</v>
      </c>
      <c r="D977" s="8">
        <v>1.48</v>
      </c>
      <c r="E977" s="4">
        <v>26</v>
      </c>
      <c r="F977" s="8">
        <v>2.54</v>
      </c>
      <c r="G977" s="4">
        <v>0</v>
      </c>
      <c r="H977" s="8">
        <v>0</v>
      </c>
      <c r="I977" s="4">
        <v>0</v>
      </c>
    </row>
    <row r="978" spans="1:9" x14ac:dyDescent="0.2">
      <c r="A978" s="2">
        <v>20</v>
      </c>
      <c r="B978" s="1" t="s">
        <v>165</v>
      </c>
      <c r="C978" s="4">
        <v>25</v>
      </c>
      <c r="D978" s="8">
        <v>1.43</v>
      </c>
      <c r="E978" s="4">
        <v>10</v>
      </c>
      <c r="F978" s="8">
        <v>0.98</v>
      </c>
      <c r="G978" s="4">
        <v>15</v>
      </c>
      <c r="H978" s="8">
        <v>2.13</v>
      </c>
      <c r="I978" s="4">
        <v>0</v>
      </c>
    </row>
    <row r="979" spans="1:9" x14ac:dyDescent="0.2">
      <c r="A979" s="2">
        <v>20</v>
      </c>
      <c r="B979" s="1" t="s">
        <v>173</v>
      </c>
      <c r="C979" s="4">
        <v>25</v>
      </c>
      <c r="D979" s="8">
        <v>1.43</v>
      </c>
      <c r="E979" s="4">
        <v>21</v>
      </c>
      <c r="F979" s="8">
        <v>2.0499999999999998</v>
      </c>
      <c r="G979" s="4">
        <v>4</v>
      </c>
      <c r="H979" s="8">
        <v>0.56999999999999995</v>
      </c>
      <c r="I979" s="4">
        <v>0</v>
      </c>
    </row>
    <row r="980" spans="1:9" x14ac:dyDescent="0.2">
      <c r="A980" s="1"/>
      <c r="C980" s="4"/>
      <c r="D980" s="8"/>
      <c r="E980" s="4"/>
      <c r="F980" s="8"/>
      <c r="G980" s="4"/>
      <c r="H980" s="8"/>
      <c r="I980" s="4"/>
    </row>
    <row r="981" spans="1:9" x14ac:dyDescent="0.2">
      <c r="A981" s="1" t="s">
        <v>43</v>
      </c>
      <c r="C981" s="4"/>
      <c r="D981" s="8"/>
      <c r="E981" s="4"/>
      <c r="F981" s="8"/>
      <c r="G981" s="4"/>
      <c r="H981" s="8"/>
      <c r="I981" s="4"/>
    </row>
    <row r="982" spans="1:9" x14ac:dyDescent="0.2">
      <c r="A982" s="2">
        <v>1</v>
      </c>
      <c r="B982" s="1" t="s">
        <v>170</v>
      </c>
      <c r="C982" s="4">
        <v>48</v>
      </c>
      <c r="D982" s="8">
        <v>4.47</v>
      </c>
      <c r="E982" s="4">
        <v>41</v>
      </c>
      <c r="F982" s="8">
        <v>8.2799999999999994</v>
      </c>
      <c r="G982" s="4">
        <v>7</v>
      </c>
      <c r="H982" s="8">
        <v>1.22</v>
      </c>
      <c r="I982" s="4">
        <v>0</v>
      </c>
    </row>
    <row r="983" spans="1:9" x14ac:dyDescent="0.2">
      <c r="A983" s="2">
        <v>2</v>
      </c>
      <c r="B983" s="1" t="s">
        <v>159</v>
      </c>
      <c r="C983" s="4">
        <v>45</v>
      </c>
      <c r="D983" s="8">
        <v>4.1900000000000004</v>
      </c>
      <c r="E983" s="4">
        <v>30</v>
      </c>
      <c r="F983" s="8">
        <v>6.06</v>
      </c>
      <c r="G983" s="4">
        <v>15</v>
      </c>
      <c r="H983" s="8">
        <v>2.62</v>
      </c>
      <c r="I983" s="4">
        <v>0</v>
      </c>
    </row>
    <row r="984" spans="1:9" x14ac:dyDescent="0.2">
      <c r="A984" s="2">
        <v>3</v>
      </c>
      <c r="B984" s="1" t="s">
        <v>203</v>
      </c>
      <c r="C984" s="4">
        <v>31</v>
      </c>
      <c r="D984" s="8">
        <v>2.89</v>
      </c>
      <c r="E984" s="4">
        <v>12</v>
      </c>
      <c r="F984" s="8">
        <v>2.42</v>
      </c>
      <c r="G984" s="4">
        <v>19</v>
      </c>
      <c r="H984" s="8">
        <v>3.32</v>
      </c>
      <c r="I984" s="4">
        <v>0</v>
      </c>
    </row>
    <row r="985" spans="1:9" x14ac:dyDescent="0.2">
      <c r="A985" s="2">
        <v>3</v>
      </c>
      <c r="B985" s="1" t="s">
        <v>173</v>
      </c>
      <c r="C985" s="4">
        <v>31</v>
      </c>
      <c r="D985" s="8">
        <v>2.89</v>
      </c>
      <c r="E985" s="4">
        <v>25</v>
      </c>
      <c r="F985" s="8">
        <v>5.05</v>
      </c>
      <c r="G985" s="4">
        <v>6</v>
      </c>
      <c r="H985" s="8">
        <v>1.05</v>
      </c>
      <c r="I985" s="4">
        <v>0</v>
      </c>
    </row>
    <row r="986" spans="1:9" x14ac:dyDescent="0.2">
      <c r="A986" s="2">
        <v>5</v>
      </c>
      <c r="B986" s="1" t="s">
        <v>156</v>
      </c>
      <c r="C986" s="4">
        <v>28</v>
      </c>
      <c r="D986" s="8">
        <v>2.61</v>
      </c>
      <c r="E986" s="4">
        <v>5</v>
      </c>
      <c r="F986" s="8">
        <v>1.01</v>
      </c>
      <c r="G986" s="4">
        <v>23</v>
      </c>
      <c r="H986" s="8">
        <v>4.0199999999999996</v>
      </c>
      <c r="I986" s="4">
        <v>0</v>
      </c>
    </row>
    <row r="987" spans="1:9" x14ac:dyDescent="0.2">
      <c r="A987" s="2">
        <v>6</v>
      </c>
      <c r="B987" s="1" t="s">
        <v>154</v>
      </c>
      <c r="C987" s="4">
        <v>26</v>
      </c>
      <c r="D987" s="8">
        <v>2.42</v>
      </c>
      <c r="E987" s="4">
        <v>6</v>
      </c>
      <c r="F987" s="8">
        <v>1.21</v>
      </c>
      <c r="G987" s="4">
        <v>20</v>
      </c>
      <c r="H987" s="8">
        <v>3.5</v>
      </c>
      <c r="I987" s="4">
        <v>0</v>
      </c>
    </row>
    <row r="988" spans="1:9" x14ac:dyDescent="0.2">
      <c r="A988" s="2">
        <v>7</v>
      </c>
      <c r="B988" s="1" t="s">
        <v>202</v>
      </c>
      <c r="C988" s="4">
        <v>25</v>
      </c>
      <c r="D988" s="8">
        <v>2.33</v>
      </c>
      <c r="E988" s="4">
        <v>11</v>
      </c>
      <c r="F988" s="8">
        <v>2.2200000000000002</v>
      </c>
      <c r="G988" s="4">
        <v>14</v>
      </c>
      <c r="H988" s="8">
        <v>2.4500000000000002</v>
      </c>
      <c r="I988" s="4">
        <v>0</v>
      </c>
    </row>
    <row r="989" spans="1:9" x14ac:dyDescent="0.2">
      <c r="A989" s="2">
        <v>7</v>
      </c>
      <c r="B989" s="1" t="s">
        <v>166</v>
      </c>
      <c r="C989" s="4">
        <v>25</v>
      </c>
      <c r="D989" s="8">
        <v>2.33</v>
      </c>
      <c r="E989" s="4">
        <v>22</v>
      </c>
      <c r="F989" s="8">
        <v>4.4400000000000004</v>
      </c>
      <c r="G989" s="4">
        <v>3</v>
      </c>
      <c r="H989" s="8">
        <v>0.52</v>
      </c>
      <c r="I989" s="4">
        <v>0</v>
      </c>
    </row>
    <row r="990" spans="1:9" x14ac:dyDescent="0.2">
      <c r="A990" s="2">
        <v>9</v>
      </c>
      <c r="B990" s="1" t="s">
        <v>186</v>
      </c>
      <c r="C990" s="4">
        <v>24</v>
      </c>
      <c r="D990" s="8">
        <v>2.23</v>
      </c>
      <c r="E990" s="4">
        <v>11</v>
      </c>
      <c r="F990" s="8">
        <v>2.2200000000000002</v>
      </c>
      <c r="G990" s="4">
        <v>13</v>
      </c>
      <c r="H990" s="8">
        <v>2.27</v>
      </c>
      <c r="I990" s="4">
        <v>0</v>
      </c>
    </row>
    <row r="991" spans="1:9" x14ac:dyDescent="0.2">
      <c r="A991" s="2">
        <v>9</v>
      </c>
      <c r="B991" s="1" t="s">
        <v>169</v>
      </c>
      <c r="C991" s="4">
        <v>24</v>
      </c>
      <c r="D991" s="8">
        <v>2.23</v>
      </c>
      <c r="E991" s="4">
        <v>23</v>
      </c>
      <c r="F991" s="8">
        <v>4.6500000000000004</v>
      </c>
      <c r="G991" s="4">
        <v>1</v>
      </c>
      <c r="H991" s="8">
        <v>0.17</v>
      </c>
      <c r="I991" s="4">
        <v>0</v>
      </c>
    </row>
    <row r="992" spans="1:9" x14ac:dyDescent="0.2">
      <c r="A992" s="2">
        <v>9</v>
      </c>
      <c r="B992" s="1" t="s">
        <v>171</v>
      </c>
      <c r="C992" s="4">
        <v>24</v>
      </c>
      <c r="D992" s="8">
        <v>2.23</v>
      </c>
      <c r="E992" s="4">
        <v>20</v>
      </c>
      <c r="F992" s="8">
        <v>4.04</v>
      </c>
      <c r="G992" s="4">
        <v>4</v>
      </c>
      <c r="H992" s="8">
        <v>0.7</v>
      </c>
      <c r="I992" s="4">
        <v>0</v>
      </c>
    </row>
    <row r="993" spans="1:9" x14ac:dyDescent="0.2">
      <c r="A993" s="2">
        <v>12</v>
      </c>
      <c r="B993" s="1" t="s">
        <v>155</v>
      </c>
      <c r="C993" s="4">
        <v>23</v>
      </c>
      <c r="D993" s="8">
        <v>2.14</v>
      </c>
      <c r="E993" s="4">
        <v>2</v>
      </c>
      <c r="F993" s="8">
        <v>0.4</v>
      </c>
      <c r="G993" s="4">
        <v>21</v>
      </c>
      <c r="H993" s="8">
        <v>3.67</v>
      </c>
      <c r="I993" s="4">
        <v>0</v>
      </c>
    </row>
    <row r="994" spans="1:9" x14ac:dyDescent="0.2">
      <c r="A994" s="2">
        <v>12</v>
      </c>
      <c r="B994" s="1" t="s">
        <v>164</v>
      </c>
      <c r="C994" s="4">
        <v>23</v>
      </c>
      <c r="D994" s="8">
        <v>2.14</v>
      </c>
      <c r="E994" s="4">
        <v>1</v>
      </c>
      <c r="F994" s="8">
        <v>0.2</v>
      </c>
      <c r="G994" s="4">
        <v>22</v>
      </c>
      <c r="H994" s="8">
        <v>3.85</v>
      </c>
      <c r="I994" s="4">
        <v>0</v>
      </c>
    </row>
    <row r="995" spans="1:9" x14ac:dyDescent="0.2">
      <c r="A995" s="2">
        <v>14</v>
      </c>
      <c r="B995" s="1" t="s">
        <v>229</v>
      </c>
      <c r="C995" s="4">
        <v>21</v>
      </c>
      <c r="D995" s="8">
        <v>1.96</v>
      </c>
      <c r="E995" s="4">
        <v>6</v>
      </c>
      <c r="F995" s="8">
        <v>1.21</v>
      </c>
      <c r="G995" s="4">
        <v>15</v>
      </c>
      <c r="H995" s="8">
        <v>2.62</v>
      </c>
      <c r="I995" s="4">
        <v>0</v>
      </c>
    </row>
    <row r="996" spans="1:9" x14ac:dyDescent="0.2">
      <c r="A996" s="2">
        <v>15</v>
      </c>
      <c r="B996" s="1" t="s">
        <v>167</v>
      </c>
      <c r="C996" s="4">
        <v>19</v>
      </c>
      <c r="D996" s="8">
        <v>1.77</v>
      </c>
      <c r="E996" s="4">
        <v>19</v>
      </c>
      <c r="F996" s="8">
        <v>3.84</v>
      </c>
      <c r="G996" s="4">
        <v>0</v>
      </c>
      <c r="H996" s="8">
        <v>0</v>
      </c>
      <c r="I996" s="4">
        <v>0</v>
      </c>
    </row>
    <row r="997" spans="1:9" x14ac:dyDescent="0.2">
      <c r="A997" s="2">
        <v>16</v>
      </c>
      <c r="B997" s="1" t="s">
        <v>161</v>
      </c>
      <c r="C997" s="4">
        <v>18</v>
      </c>
      <c r="D997" s="8">
        <v>1.68</v>
      </c>
      <c r="E997" s="4">
        <v>14</v>
      </c>
      <c r="F997" s="8">
        <v>2.83</v>
      </c>
      <c r="G997" s="4">
        <v>4</v>
      </c>
      <c r="H997" s="8">
        <v>0.7</v>
      </c>
      <c r="I997" s="4">
        <v>0</v>
      </c>
    </row>
    <row r="998" spans="1:9" x14ac:dyDescent="0.2">
      <c r="A998" s="2">
        <v>16</v>
      </c>
      <c r="B998" s="1" t="s">
        <v>182</v>
      </c>
      <c r="C998" s="4">
        <v>18</v>
      </c>
      <c r="D998" s="8">
        <v>1.68</v>
      </c>
      <c r="E998" s="4">
        <v>5</v>
      </c>
      <c r="F998" s="8">
        <v>1.01</v>
      </c>
      <c r="G998" s="4">
        <v>13</v>
      </c>
      <c r="H998" s="8">
        <v>2.27</v>
      </c>
      <c r="I998" s="4">
        <v>0</v>
      </c>
    </row>
    <row r="999" spans="1:9" x14ac:dyDescent="0.2">
      <c r="A999" s="2">
        <v>18</v>
      </c>
      <c r="B999" s="1" t="s">
        <v>187</v>
      </c>
      <c r="C999" s="4">
        <v>17</v>
      </c>
      <c r="D999" s="8">
        <v>1.58</v>
      </c>
      <c r="E999" s="4">
        <v>4</v>
      </c>
      <c r="F999" s="8">
        <v>0.81</v>
      </c>
      <c r="G999" s="4">
        <v>13</v>
      </c>
      <c r="H999" s="8">
        <v>2.27</v>
      </c>
      <c r="I999" s="4">
        <v>0</v>
      </c>
    </row>
    <row r="1000" spans="1:9" x14ac:dyDescent="0.2">
      <c r="A1000" s="2">
        <v>18</v>
      </c>
      <c r="B1000" s="1" t="s">
        <v>228</v>
      </c>
      <c r="C1000" s="4">
        <v>17</v>
      </c>
      <c r="D1000" s="8">
        <v>1.58</v>
      </c>
      <c r="E1000" s="4">
        <v>9</v>
      </c>
      <c r="F1000" s="8">
        <v>1.82</v>
      </c>
      <c r="G1000" s="4">
        <v>8</v>
      </c>
      <c r="H1000" s="8">
        <v>1.4</v>
      </c>
      <c r="I1000" s="4">
        <v>0</v>
      </c>
    </row>
    <row r="1001" spans="1:9" x14ac:dyDescent="0.2">
      <c r="A1001" s="2">
        <v>20</v>
      </c>
      <c r="B1001" s="1" t="s">
        <v>160</v>
      </c>
      <c r="C1001" s="4">
        <v>16</v>
      </c>
      <c r="D1001" s="8">
        <v>1.49</v>
      </c>
      <c r="E1001" s="4">
        <v>2</v>
      </c>
      <c r="F1001" s="8">
        <v>0.4</v>
      </c>
      <c r="G1001" s="4">
        <v>14</v>
      </c>
      <c r="H1001" s="8">
        <v>2.4500000000000002</v>
      </c>
      <c r="I1001" s="4">
        <v>0</v>
      </c>
    </row>
    <row r="1002" spans="1:9" x14ac:dyDescent="0.2">
      <c r="A1002" s="2">
        <v>20</v>
      </c>
      <c r="B1002" s="1" t="s">
        <v>165</v>
      </c>
      <c r="C1002" s="4">
        <v>16</v>
      </c>
      <c r="D1002" s="8">
        <v>1.49</v>
      </c>
      <c r="E1002" s="4">
        <v>5</v>
      </c>
      <c r="F1002" s="8">
        <v>1.01</v>
      </c>
      <c r="G1002" s="4">
        <v>11</v>
      </c>
      <c r="H1002" s="8">
        <v>1.92</v>
      </c>
      <c r="I1002" s="4">
        <v>0</v>
      </c>
    </row>
    <row r="1003" spans="1:9" x14ac:dyDescent="0.2">
      <c r="A1003" s="2">
        <v>20</v>
      </c>
      <c r="B1003" s="1" t="s">
        <v>168</v>
      </c>
      <c r="C1003" s="4">
        <v>16</v>
      </c>
      <c r="D1003" s="8">
        <v>1.49</v>
      </c>
      <c r="E1003" s="4">
        <v>15</v>
      </c>
      <c r="F1003" s="8">
        <v>3.03</v>
      </c>
      <c r="G1003" s="4">
        <v>1</v>
      </c>
      <c r="H1003" s="8">
        <v>0.17</v>
      </c>
      <c r="I1003" s="4">
        <v>0</v>
      </c>
    </row>
    <row r="1004" spans="1:9" x14ac:dyDescent="0.2">
      <c r="A1004" s="1"/>
      <c r="C1004" s="4"/>
      <c r="D1004" s="8"/>
      <c r="E1004" s="4"/>
      <c r="F1004" s="8"/>
      <c r="G1004" s="4"/>
      <c r="H1004" s="8"/>
      <c r="I1004" s="4"/>
    </row>
    <row r="1005" spans="1:9" x14ac:dyDescent="0.2">
      <c r="A1005" s="1" t="s">
        <v>44</v>
      </c>
      <c r="C1005" s="4"/>
      <c r="D1005" s="8"/>
      <c r="E1005" s="4"/>
      <c r="F1005" s="8"/>
      <c r="G1005" s="4"/>
      <c r="H1005" s="8"/>
      <c r="I1005" s="4"/>
    </row>
    <row r="1006" spans="1:9" x14ac:dyDescent="0.2">
      <c r="A1006" s="2">
        <v>1</v>
      </c>
      <c r="B1006" s="1" t="s">
        <v>174</v>
      </c>
      <c r="C1006" s="4">
        <v>32</v>
      </c>
      <c r="D1006" s="8">
        <v>4.1100000000000003</v>
      </c>
      <c r="E1006" s="4">
        <v>13</v>
      </c>
      <c r="F1006" s="8">
        <v>3.51</v>
      </c>
      <c r="G1006" s="4">
        <v>19</v>
      </c>
      <c r="H1006" s="8">
        <v>4.74</v>
      </c>
      <c r="I1006" s="4">
        <v>0</v>
      </c>
    </row>
    <row r="1007" spans="1:9" x14ac:dyDescent="0.2">
      <c r="A1007" s="2">
        <v>2</v>
      </c>
      <c r="B1007" s="1" t="s">
        <v>170</v>
      </c>
      <c r="C1007" s="4">
        <v>23</v>
      </c>
      <c r="D1007" s="8">
        <v>2.95</v>
      </c>
      <c r="E1007" s="4">
        <v>19</v>
      </c>
      <c r="F1007" s="8">
        <v>5.14</v>
      </c>
      <c r="G1007" s="4">
        <v>4</v>
      </c>
      <c r="H1007" s="8">
        <v>1</v>
      </c>
      <c r="I1007" s="4">
        <v>0</v>
      </c>
    </row>
    <row r="1008" spans="1:9" x14ac:dyDescent="0.2">
      <c r="A1008" s="2">
        <v>3</v>
      </c>
      <c r="B1008" s="1" t="s">
        <v>154</v>
      </c>
      <c r="C1008" s="4">
        <v>21</v>
      </c>
      <c r="D1008" s="8">
        <v>2.7</v>
      </c>
      <c r="E1008" s="4">
        <v>5</v>
      </c>
      <c r="F1008" s="8">
        <v>1.35</v>
      </c>
      <c r="G1008" s="4">
        <v>16</v>
      </c>
      <c r="H1008" s="8">
        <v>3.99</v>
      </c>
      <c r="I1008" s="4">
        <v>0</v>
      </c>
    </row>
    <row r="1009" spans="1:9" x14ac:dyDescent="0.2">
      <c r="A1009" s="2">
        <v>3</v>
      </c>
      <c r="B1009" s="1" t="s">
        <v>159</v>
      </c>
      <c r="C1009" s="4">
        <v>21</v>
      </c>
      <c r="D1009" s="8">
        <v>2.7</v>
      </c>
      <c r="E1009" s="4">
        <v>12</v>
      </c>
      <c r="F1009" s="8">
        <v>3.24</v>
      </c>
      <c r="G1009" s="4">
        <v>9</v>
      </c>
      <c r="H1009" s="8">
        <v>2.2400000000000002</v>
      </c>
      <c r="I1009" s="4">
        <v>0</v>
      </c>
    </row>
    <row r="1010" spans="1:9" x14ac:dyDescent="0.2">
      <c r="A1010" s="2">
        <v>5</v>
      </c>
      <c r="B1010" s="1" t="s">
        <v>180</v>
      </c>
      <c r="C1010" s="4">
        <v>19</v>
      </c>
      <c r="D1010" s="8">
        <v>2.44</v>
      </c>
      <c r="E1010" s="4">
        <v>4</v>
      </c>
      <c r="F1010" s="8">
        <v>1.08</v>
      </c>
      <c r="G1010" s="4">
        <v>15</v>
      </c>
      <c r="H1010" s="8">
        <v>3.74</v>
      </c>
      <c r="I1010" s="4">
        <v>0</v>
      </c>
    </row>
    <row r="1011" spans="1:9" x14ac:dyDescent="0.2">
      <c r="A1011" s="2">
        <v>5</v>
      </c>
      <c r="B1011" s="1" t="s">
        <v>164</v>
      </c>
      <c r="C1011" s="4">
        <v>19</v>
      </c>
      <c r="D1011" s="8">
        <v>2.44</v>
      </c>
      <c r="E1011" s="4">
        <v>11</v>
      </c>
      <c r="F1011" s="8">
        <v>2.97</v>
      </c>
      <c r="G1011" s="4">
        <v>8</v>
      </c>
      <c r="H1011" s="8">
        <v>2</v>
      </c>
      <c r="I1011" s="4">
        <v>0</v>
      </c>
    </row>
    <row r="1012" spans="1:9" x14ac:dyDescent="0.2">
      <c r="A1012" s="2">
        <v>7</v>
      </c>
      <c r="B1012" s="1" t="s">
        <v>169</v>
      </c>
      <c r="C1012" s="4">
        <v>17</v>
      </c>
      <c r="D1012" s="8">
        <v>2.1800000000000002</v>
      </c>
      <c r="E1012" s="4">
        <v>17</v>
      </c>
      <c r="F1012" s="8">
        <v>4.59</v>
      </c>
      <c r="G1012" s="4">
        <v>0</v>
      </c>
      <c r="H1012" s="8">
        <v>0</v>
      </c>
      <c r="I1012" s="4">
        <v>0</v>
      </c>
    </row>
    <row r="1013" spans="1:9" x14ac:dyDescent="0.2">
      <c r="A1013" s="2">
        <v>7</v>
      </c>
      <c r="B1013" s="1" t="s">
        <v>171</v>
      </c>
      <c r="C1013" s="4">
        <v>17</v>
      </c>
      <c r="D1013" s="8">
        <v>2.1800000000000002</v>
      </c>
      <c r="E1013" s="4">
        <v>15</v>
      </c>
      <c r="F1013" s="8">
        <v>4.05</v>
      </c>
      <c r="G1013" s="4">
        <v>2</v>
      </c>
      <c r="H1013" s="8">
        <v>0.5</v>
      </c>
      <c r="I1013" s="4">
        <v>0</v>
      </c>
    </row>
    <row r="1014" spans="1:9" x14ac:dyDescent="0.2">
      <c r="A1014" s="2">
        <v>9</v>
      </c>
      <c r="B1014" s="1" t="s">
        <v>202</v>
      </c>
      <c r="C1014" s="4">
        <v>16</v>
      </c>
      <c r="D1014" s="8">
        <v>2.0499999999999998</v>
      </c>
      <c r="E1014" s="4">
        <v>5</v>
      </c>
      <c r="F1014" s="8">
        <v>1.35</v>
      </c>
      <c r="G1014" s="4">
        <v>11</v>
      </c>
      <c r="H1014" s="8">
        <v>2.74</v>
      </c>
      <c r="I1014" s="4">
        <v>0</v>
      </c>
    </row>
    <row r="1015" spans="1:9" x14ac:dyDescent="0.2">
      <c r="A1015" s="2">
        <v>9</v>
      </c>
      <c r="B1015" s="1" t="s">
        <v>165</v>
      </c>
      <c r="C1015" s="4">
        <v>16</v>
      </c>
      <c r="D1015" s="8">
        <v>2.0499999999999998</v>
      </c>
      <c r="E1015" s="4">
        <v>10</v>
      </c>
      <c r="F1015" s="8">
        <v>2.7</v>
      </c>
      <c r="G1015" s="4">
        <v>6</v>
      </c>
      <c r="H1015" s="8">
        <v>1.5</v>
      </c>
      <c r="I1015" s="4">
        <v>0</v>
      </c>
    </row>
    <row r="1016" spans="1:9" x14ac:dyDescent="0.2">
      <c r="A1016" s="2">
        <v>11</v>
      </c>
      <c r="B1016" s="1" t="s">
        <v>186</v>
      </c>
      <c r="C1016" s="4">
        <v>15</v>
      </c>
      <c r="D1016" s="8">
        <v>1.93</v>
      </c>
      <c r="E1016" s="4">
        <v>11</v>
      </c>
      <c r="F1016" s="8">
        <v>2.97</v>
      </c>
      <c r="G1016" s="4">
        <v>4</v>
      </c>
      <c r="H1016" s="8">
        <v>1</v>
      </c>
      <c r="I1016" s="4">
        <v>0</v>
      </c>
    </row>
    <row r="1017" spans="1:9" x14ac:dyDescent="0.2">
      <c r="A1017" s="2">
        <v>11</v>
      </c>
      <c r="B1017" s="1" t="s">
        <v>187</v>
      </c>
      <c r="C1017" s="4">
        <v>15</v>
      </c>
      <c r="D1017" s="8">
        <v>1.93</v>
      </c>
      <c r="E1017" s="4">
        <v>5</v>
      </c>
      <c r="F1017" s="8">
        <v>1.35</v>
      </c>
      <c r="G1017" s="4">
        <v>10</v>
      </c>
      <c r="H1017" s="8">
        <v>2.4900000000000002</v>
      </c>
      <c r="I1017" s="4">
        <v>0</v>
      </c>
    </row>
    <row r="1018" spans="1:9" x14ac:dyDescent="0.2">
      <c r="A1018" s="2">
        <v>13</v>
      </c>
      <c r="B1018" s="1" t="s">
        <v>155</v>
      </c>
      <c r="C1018" s="4">
        <v>13</v>
      </c>
      <c r="D1018" s="8">
        <v>1.67</v>
      </c>
      <c r="E1018" s="4">
        <v>2</v>
      </c>
      <c r="F1018" s="8">
        <v>0.54</v>
      </c>
      <c r="G1018" s="4">
        <v>11</v>
      </c>
      <c r="H1018" s="8">
        <v>2.74</v>
      </c>
      <c r="I1018" s="4">
        <v>0</v>
      </c>
    </row>
    <row r="1019" spans="1:9" x14ac:dyDescent="0.2">
      <c r="A1019" s="2">
        <v>13</v>
      </c>
      <c r="B1019" s="1" t="s">
        <v>173</v>
      </c>
      <c r="C1019" s="4">
        <v>13</v>
      </c>
      <c r="D1019" s="8">
        <v>1.67</v>
      </c>
      <c r="E1019" s="4">
        <v>11</v>
      </c>
      <c r="F1019" s="8">
        <v>2.97</v>
      </c>
      <c r="G1019" s="4">
        <v>2</v>
      </c>
      <c r="H1019" s="8">
        <v>0.5</v>
      </c>
      <c r="I1019" s="4">
        <v>0</v>
      </c>
    </row>
    <row r="1020" spans="1:9" x14ac:dyDescent="0.2">
      <c r="A1020" s="2">
        <v>15</v>
      </c>
      <c r="B1020" s="1" t="s">
        <v>203</v>
      </c>
      <c r="C1020" s="4">
        <v>12</v>
      </c>
      <c r="D1020" s="8">
        <v>1.54</v>
      </c>
      <c r="E1020" s="4">
        <v>11</v>
      </c>
      <c r="F1020" s="8">
        <v>2.97</v>
      </c>
      <c r="G1020" s="4">
        <v>1</v>
      </c>
      <c r="H1020" s="8">
        <v>0.25</v>
      </c>
      <c r="I1020" s="4">
        <v>0</v>
      </c>
    </row>
    <row r="1021" spans="1:9" x14ac:dyDescent="0.2">
      <c r="A1021" s="2">
        <v>15</v>
      </c>
      <c r="B1021" s="1" t="s">
        <v>227</v>
      </c>
      <c r="C1021" s="4">
        <v>12</v>
      </c>
      <c r="D1021" s="8">
        <v>1.54</v>
      </c>
      <c r="E1021" s="4">
        <v>12</v>
      </c>
      <c r="F1021" s="8">
        <v>3.24</v>
      </c>
      <c r="G1021" s="4">
        <v>0</v>
      </c>
      <c r="H1021" s="8">
        <v>0</v>
      </c>
      <c r="I1021" s="4">
        <v>0</v>
      </c>
    </row>
    <row r="1022" spans="1:9" x14ac:dyDescent="0.2">
      <c r="A1022" s="2">
        <v>17</v>
      </c>
      <c r="B1022" s="1" t="s">
        <v>228</v>
      </c>
      <c r="C1022" s="4">
        <v>11</v>
      </c>
      <c r="D1022" s="8">
        <v>1.41</v>
      </c>
      <c r="E1022" s="4">
        <v>7</v>
      </c>
      <c r="F1022" s="8">
        <v>1.89</v>
      </c>
      <c r="G1022" s="4">
        <v>4</v>
      </c>
      <c r="H1022" s="8">
        <v>1</v>
      </c>
      <c r="I1022" s="4">
        <v>0</v>
      </c>
    </row>
    <row r="1023" spans="1:9" x14ac:dyDescent="0.2">
      <c r="A1023" s="2">
        <v>17</v>
      </c>
      <c r="B1023" s="1" t="s">
        <v>156</v>
      </c>
      <c r="C1023" s="4">
        <v>11</v>
      </c>
      <c r="D1023" s="8">
        <v>1.41</v>
      </c>
      <c r="E1023" s="4">
        <v>5</v>
      </c>
      <c r="F1023" s="8">
        <v>1.35</v>
      </c>
      <c r="G1023" s="4">
        <v>6</v>
      </c>
      <c r="H1023" s="8">
        <v>1.5</v>
      </c>
      <c r="I1023" s="4">
        <v>0</v>
      </c>
    </row>
    <row r="1024" spans="1:9" x14ac:dyDescent="0.2">
      <c r="A1024" s="2">
        <v>17</v>
      </c>
      <c r="B1024" s="1" t="s">
        <v>209</v>
      </c>
      <c r="C1024" s="4">
        <v>11</v>
      </c>
      <c r="D1024" s="8">
        <v>1.41</v>
      </c>
      <c r="E1024" s="4">
        <v>5</v>
      </c>
      <c r="F1024" s="8">
        <v>1.35</v>
      </c>
      <c r="G1024" s="4">
        <v>6</v>
      </c>
      <c r="H1024" s="8">
        <v>1.5</v>
      </c>
      <c r="I1024" s="4">
        <v>0</v>
      </c>
    </row>
    <row r="1025" spans="1:9" x14ac:dyDescent="0.2">
      <c r="A1025" s="2">
        <v>20</v>
      </c>
      <c r="B1025" s="1" t="s">
        <v>229</v>
      </c>
      <c r="C1025" s="4">
        <v>10</v>
      </c>
      <c r="D1025" s="8">
        <v>1.28</v>
      </c>
      <c r="E1025" s="4">
        <v>4</v>
      </c>
      <c r="F1025" s="8">
        <v>1.08</v>
      </c>
      <c r="G1025" s="4">
        <v>6</v>
      </c>
      <c r="H1025" s="8">
        <v>1.5</v>
      </c>
      <c r="I1025" s="4">
        <v>0</v>
      </c>
    </row>
    <row r="1026" spans="1:9" x14ac:dyDescent="0.2">
      <c r="A1026" s="1"/>
      <c r="C1026" s="4"/>
      <c r="D1026" s="8"/>
      <c r="E1026" s="4"/>
      <c r="F1026" s="8"/>
      <c r="G1026" s="4"/>
      <c r="H1026" s="8"/>
      <c r="I1026" s="4"/>
    </row>
    <row r="1027" spans="1:9" x14ac:dyDescent="0.2">
      <c r="A1027" s="1" t="s">
        <v>45</v>
      </c>
      <c r="C1027" s="4"/>
      <c r="D1027" s="8"/>
      <c r="E1027" s="4"/>
      <c r="F1027" s="8"/>
      <c r="G1027" s="4"/>
      <c r="H1027" s="8"/>
      <c r="I1027" s="4"/>
    </row>
    <row r="1028" spans="1:9" x14ac:dyDescent="0.2">
      <c r="A1028" s="2">
        <v>1</v>
      </c>
      <c r="B1028" s="1" t="s">
        <v>170</v>
      </c>
      <c r="C1028" s="4">
        <v>23</v>
      </c>
      <c r="D1028" s="8">
        <v>5.75</v>
      </c>
      <c r="E1028" s="4">
        <v>23</v>
      </c>
      <c r="F1028" s="8">
        <v>11.98</v>
      </c>
      <c r="G1028" s="4">
        <v>0</v>
      </c>
      <c r="H1028" s="8">
        <v>0</v>
      </c>
      <c r="I1028" s="4">
        <v>0</v>
      </c>
    </row>
    <row r="1029" spans="1:9" x14ac:dyDescent="0.2">
      <c r="A1029" s="2">
        <v>2</v>
      </c>
      <c r="B1029" s="1" t="s">
        <v>164</v>
      </c>
      <c r="C1029" s="4">
        <v>21</v>
      </c>
      <c r="D1029" s="8">
        <v>5.25</v>
      </c>
      <c r="E1029" s="4">
        <v>7</v>
      </c>
      <c r="F1029" s="8">
        <v>3.65</v>
      </c>
      <c r="G1029" s="4">
        <v>14</v>
      </c>
      <c r="H1029" s="8">
        <v>6.8</v>
      </c>
      <c r="I1029" s="4">
        <v>0</v>
      </c>
    </row>
    <row r="1030" spans="1:9" x14ac:dyDescent="0.2">
      <c r="A1030" s="2">
        <v>3</v>
      </c>
      <c r="B1030" s="1" t="s">
        <v>161</v>
      </c>
      <c r="C1030" s="4">
        <v>11</v>
      </c>
      <c r="D1030" s="8">
        <v>2.75</v>
      </c>
      <c r="E1030" s="4">
        <v>10</v>
      </c>
      <c r="F1030" s="8">
        <v>5.21</v>
      </c>
      <c r="G1030" s="4">
        <v>1</v>
      </c>
      <c r="H1030" s="8">
        <v>0.49</v>
      </c>
      <c r="I1030" s="4">
        <v>0</v>
      </c>
    </row>
    <row r="1031" spans="1:9" x14ac:dyDescent="0.2">
      <c r="A1031" s="2">
        <v>3</v>
      </c>
      <c r="B1031" s="1" t="s">
        <v>169</v>
      </c>
      <c r="C1031" s="4">
        <v>11</v>
      </c>
      <c r="D1031" s="8">
        <v>2.75</v>
      </c>
      <c r="E1031" s="4">
        <v>11</v>
      </c>
      <c r="F1031" s="8">
        <v>5.73</v>
      </c>
      <c r="G1031" s="4">
        <v>0</v>
      </c>
      <c r="H1031" s="8">
        <v>0</v>
      </c>
      <c r="I1031" s="4">
        <v>0</v>
      </c>
    </row>
    <row r="1032" spans="1:9" x14ac:dyDescent="0.2">
      <c r="A1032" s="2">
        <v>5</v>
      </c>
      <c r="B1032" s="1" t="s">
        <v>186</v>
      </c>
      <c r="C1032" s="4">
        <v>10</v>
      </c>
      <c r="D1032" s="8">
        <v>2.5</v>
      </c>
      <c r="E1032" s="4">
        <v>5</v>
      </c>
      <c r="F1032" s="8">
        <v>2.6</v>
      </c>
      <c r="G1032" s="4">
        <v>5</v>
      </c>
      <c r="H1032" s="8">
        <v>2.4300000000000002</v>
      </c>
      <c r="I1032" s="4">
        <v>0</v>
      </c>
    </row>
    <row r="1033" spans="1:9" x14ac:dyDescent="0.2">
      <c r="A1033" s="2">
        <v>6</v>
      </c>
      <c r="B1033" s="1" t="s">
        <v>154</v>
      </c>
      <c r="C1033" s="4">
        <v>9</v>
      </c>
      <c r="D1033" s="8">
        <v>2.25</v>
      </c>
      <c r="E1033" s="4">
        <v>1</v>
      </c>
      <c r="F1033" s="8">
        <v>0.52</v>
      </c>
      <c r="G1033" s="4">
        <v>8</v>
      </c>
      <c r="H1033" s="8">
        <v>3.88</v>
      </c>
      <c r="I1033" s="4">
        <v>0</v>
      </c>
    </row>
    <row r="1034" spans="1:9" x14ac:dyDescent="0.2">
      <c r="A1034" s="2">
        <v>6</v>
      </c>
      <c r="B1034" s="1" t="s">
        <v>159</v>
      </c>
      <c r="C1034" s="4">
        <v>9</v>
      </c>
      <c r="D1034" s="8">
        <v>2.25</v>
      </c>
      <c r="E1034" s="4">
        <v>7</v>
      </c>
      <c r="F1034" s="8">
        <v>3.65</v>
      </c>
      <c r="G1034" s="4">
        <v>2</v>
      </c>
      <c r="H1034" s="8">
        <v>0.97</v>
      </c>
      <c r="I1034" s="4">
        <v>0</v>
      </c>
    </row>
    <row r="1035" spans="1:9" x14ac:dyDescent="0.2">
      <c r="A1035" s="2">
        <v>6</v>
      </c>
      <c r="B1035" s="1" t="s">
        <v>172</v>
      </c>
      <c r="C1035" s="4">
        <v>9</v>
      </c>
      <c r="D1035" s="8">
        <v>2.25</v>
      </c>
      <c r="E1035" s="4">
        <v>8</v>
      </c>
      <c r="F1035" s="8">
        <v>4.17</v>
      </c>
      <c r="G1035" s="4">
        <v>1</v>
      </c>
      <c r="H1035" s="8">
        <v>0.49</v>
      </c>
      <c r="I1035" s="4">
        <v>0</v>
      </c>
    </row>
    <row r="1036" spans="1:9" x14ac:dyDescent="0.2">
      <c r="A1036" s="2">
        <v>9</v>
      </c>
      <c r="B1036" s="1" t="s">
        <v>155</v>
      </c>
      <c r="C1036" s="4">
        <v>8</v>
      </c>
      <c r="D1036" s="8">
        <v>2</v>
      </c>
      <c r="E1036" s="4">
        <v>0</v>
      </c>
      <c r="F1036" s="8">
        <v>0</v>
      </c>
      <c r="G1036" s="4">
        <v>8</v>
      </c>
      <c r="H1036" s="8">
        <v>3.88</v>
      </c>
      <c r="I1036" s="4">
        <v>0</v>
      </c>
    </row>
    <row r="1037" spans="1:9" x14ac:dyDescent="0.2">
      <c r="A1037" s="2">
        <v>9</v>
      </c>
      <c r="B1037" s="1" t="s">
        <v>166</v>
      </c>
      <c r="C1037" s="4">
        <v>8</v>
      </c>
      <c r="D1037" s="8">
        <v>2</v>
      </c>
      <c r="E1037" s="4">
        <v>6</v>
      </c>
      <c r="F1037" s="8">
        <v>3.13</v>
      </c>
      <c r="G1037" s="4">
        <v>2</v>
      </c>
      <c r="H1037" s="8">
        <v>0.97</v>
      </c>
      <c r="I1037" s="4">
        <v>0</v>
      </c>
    </row>
    <row r="1038" spans="1:9" x14ac:dyDescent="0.2">
      <c r="A1038" s="2">
        <v>11</v>
      </c>
      <c r="B1038" s="1" t="s">
        <v>158</v>
      </c>
      <c r="C1038" s="4">
        <v>7</v>
      </c>
      <c r="D1038" s="8">
        <v>1.75</v>
      </c>
      <c r="E1038" s="4">
        <v>7</v>
      </c>
      <c r="F1038" s="8">
        <v>3.65</v>
      </c>
      <c r="G1038" s="4">
        <v>0</v>
      </c>
      <c r="H1038" s="8">
        <v>0</v>
      </c>
      <c r="I1038" s="4">
        <v>0</v>
      </c>
    </row>
    <row r="1039" spans="1:9" x14ac:dyDescent="0.2">
      <c r="A1039" s="2">
        <v>11</v>
      </c>
      <c r="B1039" s="1" t="s">
        <v>160</v>
      </c>
      <c r="C1039" s="4">
        <v>7</v>
      </c>
      <c r="D1039" s="8">
        <v>1.75</v>
      </c>
      <c r="E1039" s="4">
        <v>3</v>
      </c>
      <c r="F1039" s="8">
        <v>1.56</v>
      </c>
      <c r="G1039" s="4">
        <v>4</v>
      </c>
      <c r="H1039" s="8">
        <v>1.94</v>
      </c>
      <c r="I1039" s="4">
        <v>0</v>
      </c>
    </row>
    <row r="1040" spans="1:9" x14ac:dyDescent="0.2">
      <c r="A1040" s="2">
        <v>11</v>
      </c>
      <c r="B1040" s="1" t="s">
        <v>167</v>
      </c>
      <c r="C1040" s="4">
        <v>7</v>
      </c>
      <c r="D1040" s="8">
        <v>1.75</v>
      </c>
      <c r="E1040" s="4">
        <v>6</v>
      </c>
      <c r="F1040" s="8">
        <v>3.13</v>
      </c>
      <c r="G1040" s="4">
        <v>1</v>
      </c>
      <c r="H1040" s="8">
        <v>0.49</v>
      </c>
      <c r="I1040" s="4">
        <v>0</v>
      </c>
    </row>
    <row r="1041" spans="1:9" x14ac:dyDescent="0.2">
      <c r="A1041" s="2">
        <v>11</v>
      </c>
      <c r="B1041" s="1" t="s">
        <v>182</v>
      </c>
      <c r="C1041" s="4">
        <v>7</v>
      </c>
      <c r="D1041" s="8">
        <v>1.75</v>
      </c>
      <c r="E1041" s="4">
        <v>3</v>
      </c>
      <c r="F1041" s="8">
        <v>1.56</v>
      </c>
      <c r="G1041" s="4">
        <v>4</v>
      </c>
      <c r="H1041" s="8">
        <v>1.94</v>
      </c>
      <c r="I1041" s="4">
        <v>0</v>
      </c>
    </row>
    <row r="1042" spans="1:9" x14ac:dyDescent="0.2">
      <c r="A1042" s="2">
        <v>11</v>
      </c>
      <c r="B1042" s="1" t="s">
        <v>220</v>
      </c>
      <c r="C1042" s="4">
        <v>7</v>
      </c>
      <c r="D1042" s="8">
        <v>1.75</v>
      </c>
      <c r="E1042" s="4">
        <v>6</v>
      </c>
      <c r="F1042" s="8">
        <v>3.13</v>
      </c>
      <c r="G1042" s="4">
        <v>1</v>
      </c>
      <c r="H1042" s="8">
        <v>0.49</v>
      </c>
      <c r="I1042" s="4">
        <v>0</v>
      </c>
    </row>
    <row r="1043" spans="1:9" x14ac:dyDescent="0.2">
      <c r="A1043" s="2">
        <v>16</v>
      </c>
      <c r="B1043" s="1" t="s">
        <v>202</v>
      </c>
      <c r="C1043" s="4">
        <v>6</v>
      </c>
      <c r="D1043" s="8">
        <v>1.5</v>
      </c>
      <c r="E1043" s="4">
        <v>5</v>
      </c>
      <c r="F1043" s="8">
        <v>2.6</v>
      </c>
      <c r="G1043" s="4">
        <v>1</v>
      </c>
      <c r="H1043" s="8">
        <v>0.49</v>
      </c>
      <c r="I1043" s="4">
        <v>0</v>
      </c>
    </row>
    <row r="1044" spans="1:9" x14ac:dyDescent="0.2">
      <c r="A1044" s="2">
        <v>16</v>
      </c>
      <c r="B1044" s="1" t="s">
        <v>174</v>
      </c>
      <c r="C1044" s="4">
        <v>6</v>
      </c>
      <c r="D1044" s="8">
        <v>1.5</v>
      </c>
      <c r="E1044" s="4">
        <v>2</v>
      </c>
      <c r="F1044" s="8">
        <v>1.04</v>
      </c>
      <c r="G1044" s="4">
        <v>4</v>
      </c>
      <c r="H1044" s="8">
        <v>1.94</v>
      </c>
      <c r="I1044" s="4">
        <v>0</v>
      </c>
    </row>
    <row r="1045" spans="1:9" x14ac:dyDescent="0.2">
      <c r="A1045" s="2">
        <v>16</v>
      </c>
      <c r="B1045" s="1" t="s">
        <v>231</v>
      </c>
      <c r="C1045" s="4">
        <v>6</v>
      </c>
      <c r="D1045" s="8">
        <v>1.5</v>
      </c>
      <c r="E1045" s="4">
        <v>4</v>
      </c>
      <c r="F1045" s="8">
        <v>2.08</v>
      </c>
      <c r="G1045" s="4">
        <v>2</v>
      </c>
      <c r="H1045" s="8">
        <v>0.97</v>
      </c>
      <c r="I1045" s="4">
        <v>0</v>
      </c>
    </row>
    <row r="1046" spans="1:9" x14ac:dyDescent="0.2">
      <c r="A1046" s="2">
        <v>16</v>
      </c>
      <c r="B1046" s="1" t="s">
        <v>173</v>
      </c>
      <c r="C1046" s="4">
        <v>6</v>
      </c>
      <c r="D1046" s="8">
        <v>1.5</v>
      </c>
      <c r="E1046" s="4">
        <v>2</v>
      </c>
      <c r="F1046" s="8">
        <v>1.04</v>
      </c>
      <c r="G1046" s="4">
        <v>4</v>
      </c>
      <c r="H1046" s="8">
        <v>1.94</v>
      </c>
      <c r="I1046" s="4">
        <v>0</v>
      </c>
    </row>
    <row r="1047" spans="1:9" x14ac:dyDescent="0.2">
      <c r="A1047" s="2">
        <v>20</v>
      </c>
      <c r="B1047" s="1" t="s">
        <v>156</v>
      </c>
      <c r="C1047" s="4">
        <v>5</v>
      </c>
      <c r="D1047" s="8">
        <v>1.25</v>
      </c>
      <c r="E1047" s="4">
        <v>2</v>
      </c>
      <c r="F1047" s="8">
        <v>1.04</v>
      </c>
      <c r="G1047" s="4">
        <v>3</v>
      </c>
      <c r="H1047" s="8">
        <v>1.46</v>
      </c>
      <c r="I1047" s="4">
        <v>0</v>
      </c>
    </row>
    <row r="1048" spans="1:9" x14ac:dyDescent="0.2">
      <c r="A1048" s="2">
        <v>20</v>
      </c>
      <c r="B1048" s="1" t="s">
        <v>224</v>
      </c>
      <c r="C1048" s="4">
        <v>5</v>
      </c>
      <c r="D1048" s="8">
        <v>1.25</v>
      </c>
      <c r="E1048" s="4">
        <v>0</v>
      </c>
      <c r="F1048" s="8">
        <v>0</v>
      </c>
      <c r="G1048" s="4">
        <v>5</v>
      </c>
      <c r="H1048" s="8">
        <v>2.4300000000000002</v>
      </c>
      <c r="I1048" s="4">
        <v>0</v>
      </c>
    </row>
    <row r="1049" spans="1:9" x14ac:dyDescent="0.2">
      <c r="A1049" s="2">
        <v>20</v>
      </c>
      <c r="B1049" s="1" t="s">
        <v>157</v>
      </c>
      <c r="C1049" s="4">
        <v>5</v>
      </c>
      <c r="D1049" s="8">
        <v>1.25</v>
      </c>
      <c r="E1049" s="4">
        <v>3</v>
      </c>
      <c r="F1049" s="8">
        <v>1.56</v>
      </c>
      <c r="G1049" s="4">
        <v>2</v>
      </c>
      <c r="H1049" s="8">
        <v>0.97</v>
      </c>
      <c r="I1049" s="4">
        <v>0</v>
      </c>
    </row>
    <row r="1050" spans="1:9" x14ac:dyDescent="0.2">
      <c r="A1050" s="2">
        <v>20</v>
      </c>
      <c r="B1050" s="1" t="s">
        <v>177</v>
      </c>
      <c r="C1050" s="4">
        <v>5</v>
      </c>
      <c r="D1050" s="8">
        <v>1.25</v>
      </c>
      <c r="E1050" s="4">
        <v>4</v>
      </c>
      <c r="F1050" s="8">
        <v>2.08</v>
      </c>
      <c r="G1050" s="4">
        <v>1</v>
      </c>
      <c r="H1050" s="8">
        <v>0.49</v>
      </c>
      <c r="I1050" s="4">
        <v>0</v>
      </c>
    </row>
    <row r="1051" spans="1:9" x14ac:dyDescent="0.2">
      <c r="A1051" s="2">
        <v>20</v>
      </c>
      <c r="B1051" s="1" t="s">
        <v>188</v>
      </c>
      <c r="C1051" s="4">
        <v>5</v>
      </c>
      <c r="D1051" s="8">
        <v>1.25</v>
      </c>
      <c r="E1051" s="4">
        <v>0</v>
      </c>
      <c r="F1051" s="8">
        <v>0</v>
      </c>
      <c r="G1051" s="4">
        <v>5</v>
      </c>
      <c r="H1051" s="8">
        <v>2.4300000000000002</v>
      </c>
      <c r="I1051" s="4">
        <v>0</v>
      </c>
    </row>
    <row r="1052" spans="1:9" x14ac:dyDescent="0.2">
      <c r="A1052" s="2">
        <v>20</v>
      </c>
      <c r="B1052" s="1" t="s">
        <v>230</v>
      </c>
      <c r="C1052" s="4">
        <v>5</v>
      </c>
      <c r="D1052" s="8">
        <v>1.25</v>
      </c>
      <c r="E1052" s="4">
        <v>4</v>
      </c>
      <c r="F1052" s="8">
        <v>2.08</v>
      </c>
      <c r="G1052" s="4">
        <v>1</v>
      </c>
      <c r="H1052" s="8">
        <v>0.49</v>
      </c>
      <c r="I1052" s="4">
        <v>0</v>
      </c>
    </row>
    <row r="1053" spans="1:9" x14ac:dyDescent="0.2">
      <c r="A1053" s="2">
        <v>20</v>
      </c>
      <c r="B1053" s="1" t="s">
        <v>178</v>
      </c>
      <c r="C1053" s="4">
        <v>5</v>
      </c>
      <c r="D1053" s="8">
        <v>1.25</v>
      </c>
      <c r="E1053" s="4">
        <v>4</v>
      </c>
      <c r="F1053" s="8">
        <v>2.08</v>
      </c>
      <c r="G1053" s="4">
        <v>1</v>
      </c>
      <c r="H1053" s="8">
        <v>0.49</v>
      </c>
      <c r="I1053" s="4">
        <v>0</v>
      </c>
    </row>
    <row r="1054" spans="1:9" x14ac:dyDescent="0.2">
      <c r="A1054" s="1"/>
      <c r="C1054" s="4"/>
      <c r="D1054" s="8"/>
      <c r="E1054" s="4"/>
      <c r="F1054" s="8"/>
      <c r="G1054" s="4"/>
      <c r="H1054" s="8"/>
      <c r="I1054" s="4"/>
    </row>
    <row r="1055" spans="1:9" x14ac:dyDescent="0.2">
      <c r="A1055" s="1" t="s">
        <v>46</v>
      </c>
      <c r="C1055" s="4"/>
      <c r="D1055" s="8"/>
      <c r="E1055" s="4"/>
      <c r="F1055" s="8"/>
      <c r="G1055" s="4"/>
      <c r="H1055" s="8"/>
      <c r="I1055" s="4"/>
    </row>
    <row r="1056" spans="1:9" x14ac:dyDescent="0.2">
      <c r="A1056" s="2">
        <v>1</v>
      </c>
      <c r="B1056" s="1" t="s">
        <v>164</v>
      </c>
      <c r="C1056" s="4">
        <v>64</v>
      </c>
      <c r="D1056" s="8">
        <v>7.07</v>
      </c>
      <c r="E1056" s="4">
        <v>25</v>
      </c>
      <c r="F1056" s="8">
        <v>6.81</v>
      </c>
      <c r="G1056" s="4">
        <v>39</v>
      </c>
      <c r="H1056" s="8">
        <v>7.33</v>
      </c>
      <c r="I1056" s="4">
        <v>0</v>
      </c>
    </row>
    <row r="1057" spans="1:9" x14ac:dyDescent="0.2">
      <c r="A1057" s="2">
        <v>2</v>
      </c>
      <c r="B1057" s="1" t="s">
        <v>170</v>
      </c>
      <c r="C1057" s="4">
        <v>38</v>
      </c>
      <c r="D1057" s="8">
        <v>4.2</v>
      </c>
      <c r="E1057" s="4">
        <v>35</v>
      </c>
      <c r="F1057" s="8">
        <v>9.5399999999999991</v>
      </c>
      <c r="G1057" s="4">
        <v>3</v>
      </c>
      <c r="H1057" s="8">
        <v>0.56000000000000005</v>
      </c>
      <c r="I1057" s="4">
        <v>0</v>
      </c>
    </row>
    <row r="1058" spans="1:9" x14ac:dyDescent="0.2">
      <c r="A1058" s="2">
        <v>3</v>
      </c>
      <c r="B1058" s="1" t="s">
        <v>166</v>
      </c>
      <c r="C1058" s="4">
        <v>26</v>
      </c>
      <c r="D1058" s="8">
        <v>2.87</v>
      </c>
      <c r="E1058" s="4">
        <v>18</v>
      </c>
      <c r="F1058" s="8">
        <v>4.9000000000000004</v>
      </c>
      <c r="G1058" s="4">
        <v>8</v>
      </c>
      <c r="H1058" s="8">
        <v>1.5</v>
      </c>
      <c r="I1058" s="4">
        <v>0</v>
      </c>
    </row>
    <row r="1059" spans="1:9" x14ac:dyDescent="0.2">
      <c r="A1059" s="2">
        <v>4</v>
      </c>
      <c r="B1059" s="1" t="s">
        <v>159</v>
      </c>
      <c r="C1059" s="4">
        <v>23</v>
      </c>
      <c r="D1059" s="8">
        <v>2.54</v>
      </c>
      <c r="E1059" s="4">
        <v>11</v>
      </c>
      <c r="F1059" s="8">
        <v>3</v>
      </c>
      <c r="G1059" s="4">
        <v>12</v>
      </c>
      <c r="H1059" s="8">
        <v>2.2599999999999998</v>
      </c>
      <c r="I1059" s="4">
        <v>0</v>
      </c>
    </row>
    <row r="1060" spans="1:9" x14ac:dyDescent="0.2">
      <c r="A1060" s="2">
        <v>4</v>
      </c>
      <c r="B1060" s="1" t="s">
        <v>167</v>
      </c>
      <c r="C1060" s="4">
        <v>23</v>
      </c>
      <c r="D1060" s="8">
        <v>2.54</v>
      </c>
      <c r="E1060" s="4">
        <v>20</v>
      </c>
      <c r="F1060" s="8">
        <v>5.45</v>
      </c>
      <c r="G1060" s="4">
        <v>3</v>
      </c>
      <c r="H1060" s="8">
        <v>0.56000000000000005</v>
      </c>
      <c r="I1060" s="4">
        <v>0</v>
      </c>
    </row>
    <row r="1061" spans="1:9" x14ac:dyDescent="0.2">
      <c r="A1061" s="2">
        <v>6</v>
      </c>
      <c r="B1061" s="1" t="s">
        <v>163</v>
      </c>
      <c r="C1061" s="4">
        <v>22</v>
      </c>
      <c r="D1061" s="8">
        <v>2.4300000000000002</v>
      </c>
      <c r="E1061" s="4">
        <v>5</v>
      </c>
      <c r="F1061" s="8">
        <v>1.36</v>
      </c>
      <c r="G1061" s="4">
        <v>17</v>
      </c>
      <c r="H1061" s="8">
        <v>3.2</v>
      </c>
      <c r="I1061" s="4">
        <v>0</v>
      </c>
    </row>
    <row r="1062" spans="1:9" x14ac:dyDescent="0.2">
      <c r="A1062" s="2">
        <v>7</v>
      </c>
      <c r="B1062" s="1" t="s">
        <v>168</v>
      </c>
      <c r="C1062" s="4">
        <v>20</v>
      </c>
      <c r="D1062" s="8">
        <v>2.21</v>
      </c>
      <c r="E1062" s="4">
        <v>20</v>
      </c>
      <c r="F1062" s="8">
        <v>5.45</v>
      </c>
      <c r="G1062" s="4">
        <v>0</v>
      </c>
      <c r="H1062" s="8">
        <v>0</v>
      </c>
      <c r="I1062" s="4">
        <v>0</v>
      </c>
    </row>
    <row r="1063" spans="1:9" x14ac:dyDescent="0.2">
      <c r="A1063" s="2">
        <v>8</v>
      </c>
      <c r="B1063" s="1" t="s">
        <v>160</v>
      </c>
      <c r="C1063" s="4">
        <v>19</v>
      </c>
      <c r="D1063" s="8">
        <v>2.1</v>
      </c>
      <c r="E1063" s="4">
        <v>5</v>
      </c>
      <c r="F1063" s="8">
        <v>1.36</v>
      </c>
      <c r="G1063" s="4">
        <v>14</v>
      </c>
      <c r="H1063" s="8">
        <v>2.63</v>
      </c>
      <c r="I1063" s="4">
        <v>0</v>
      </c>
    </row>
    <row r="1064" spans="1:9" x14ac:dyDescent="0.2">
      <c r="A1064" s="2">
        <v>9</v>
      </c>
      <c r="B1064" s="1" t="s">
        <v>158</v>
      </c>
      <c r="C1064" s="4">
        <v>18</v>
      </c>
      <c r="D1064" s="8">
        <v>1.99</v>
      </c>
      <c r="E1064" s="4">
        <v>10</v>
      </c>
      <c r="F1064" s="8">
        <v>2.72</v>
      </c>
      <c r="G1064" s="4">
        <v>8</v>
      </c>
      <c r="H1064" s="8">
        <v>1.5</v>
      </c>
      <c r="I1064" s="4">
        <v>0</v>
      </c>
    </row>
    <row r="1065" spans="1:9" x14ac:dyDescent="0.2">
      <c r="A1065" s="2">
        <v>9</v>
      </c>
      <c r="B1065" s="1" t="s">
        <v>173</v>
      </c>
      <c r="C1065" s="4">
        <v>18</v>
      </c>
      <c r="D1065" s="8">
        <v>1.99</v>
      </c>
      <c r="E1065" s="4">
        <v>8</v>
      </c>
      <c r="F1065" s="8">
        <v>2.1800000000000002</v>
      </c>
      <c r="G1065" s="4">
        <v>10</v>
      </c>
      <c r="H1065" s="8">
        <v>1.88</v>
      </c>
      <c r="I1065" s="4">
        <v>0</v>
      </c>
    </row>
    <row r="1066" spans="1:9" x14ac:dyDescent="0.2">
      <c r="A1066" s="2">
        <v>11</v>
      </c>
      <c r="B1066" s="1" t="s">
        <v>169</v>
      </c>
      <c r="C1066" s="4">
        <v>17</v>
      </c>
      <c r="D1066" s="8">
        <v>1.88</v>
      </c>
      <c r="E1066" s="4">
        <v>16</v>
      </c>
      <c r="F1066" s="8">
        <v>4.3600000000000003</v>
      </c>
      <c r="G1066" s="4">
        <v>1</v>
      </c>
      <c r="H1066" s="8">
        <v>0.19</v>
      </c>
      <c r="I1066" s="4">
        <v>0</v>
      </c>
    </row>
    <row r="1067" spans="1:9" x14ac:dyDescent="0.2">
      <c r="A1067" s="2">
        <v>11</v>
      </c>
      <c r="B1067" s="1" t="s">
        <v>172</v>
      </c>
      <c r="C1067" s="4">
        <v>17</v>
      </c>
      <c r="D1067" s="8">
        <v>1.88</v>
      </c>
      <c r="E1067" s="4">
        <v>14</v>
      </c>
      <c r="F1067" s="8">
        <v>3.81</v>
      </c>
      <c r="G1067" s="4">
        <v>3</v>
      </c>
      <c r="H1067" s="8">
        <v>0.56000000000000005</v>
      </c>
      <c r="I1067" s="4">
        <v>0</v>
      </c>
    </row>
    <row r="1068" spans="1:9" x14ac:dyDescent="0.2">
      <c r="A1068" s="2">
        <v>13</v>
      </c>
      <c r="B1068" s="1" t="s">
        <v>203</v>
      </c>
      <c r="C1068" s="4">
        <v>14</v>
      </c>
      <c r="D1068" s="8">
        <v>1.55</v>
      </c>
      <c r="E1068" s="4">
        <v>3</v>
      </c>
      <c r="F1068" s="8">
        <v>0.82</v>
      </c>
      <c r="G1068" s="4">
        <v>11</v>
      </c>
      <c r="H1068" s="8">
        <v>2.0699999999999998</v>
      </c>
      <c r="I1068" s="4">
        <v>0</v>
      </c>
    </row>
    <row r="1069" spans="1:9" x14ac:dyDescent="0.2">
      <c r="A1069" s="2">
        <v>13</v>
      </c>
      <c r="B1069" s="1" t="s">
        <v>156</v>
      </c>
      <c r="C1069" s="4">
        <v>14</v>
      </c>
      <c r="D1069" s="8">
        <v>1.55</v>
      </c>
      <c r="E1069" s="4">
        <v>1</v>
      </c>
      <c r="F1069" s="8">
        <v>0.27</v>
      </c>
      <c r="G1069" s="4">
        <v>13</v>
      </c>
      <c r="H1069" s="8">
        <v>2.44</v>
      </c>
      <c r="I1069" s="4">
        <v>0</v>
      </c>
    </row>
    <row r="1070" spans="1:9" x14ac:dyDescent="0.2">
      <c r="A1070" s="2">
        <v>13</v>
      </c>
      <c r="B1070" s="1" t="s">
        <v>180</v>
      </c>
      <c r="C1070" s="4">
        <v>14</v>
      </c>
      <c r="D1070" s="8">
        <v>1.55</v>
      </c>
      <c r="E1070" s="4">
        <v>5</v>
      </c>
      <c r="F1070" s="8">
        <v>1.36</v>
      </c>
      <c r="G1070" s="4">
        <v>9</v>
      </c>
      <c r="H1070" s="8">
        <v>1.69</v>
      </c>
      <c r="I1070" s="4">
        <v>0</v>
      </c>
    </row>
    <row r="1071" spans="1:9" x14ac:dyDescent="0.2">
      <c r="A1071" s="2">
        <v>13</v>
      </c>
      <c r="B1071" s="1" t="s">
        <v>208</v>
      </c>
      <c r="C1071" s="4">
        <v>14</v>
      </c>
      <c r="D1071" s="8">
        <v>1.55</v>
      </c>
      <c r="E1071" s="4">
        <v>11</v>
      </c>
      <c r="F1071" s="8">
        <v>3</v>
      </c>
      <c r="G1071" s="4">
        <v>3</v>
      </c>
      <c r="H1071" s="8">
        <v>0.56000000000000005</v>
      </c>
      <c r="I1071" s="4">
        <v>0</v>
      </c>
    </row>
    <row r="1072" spans="1:9" x14ac:dyDescent="0.2">
      <c r="A1072" s="2">
        <v>17</v>
      </c>
      <c r="B1072" s="1" t="s">
        <v>174</v>
      </c>
      <c r="C1072" s="4">
        <v>13</v>
      </c>
      <c r="D1072" s="8">
        <v>1.44</v>
      </c>
      <c r="E1072" s="4">
        <v>0</v>
      </c>
      <c r="F1072" s="8">
        <v>0</v>
      </c>
      <c r="G1072" s="4">
        <v>13</v>
      </c>
      <c r="H1072" s="8">
        <v>2.44</v>
      </c>
      <c r="I1072" s="4">
        <v>0</v>
      </c>
    </row>
    <row r="1073" spans="1:9" x14ac:dyDescent="0.2">
      <c r="A1073" s="2">
        <v>18</v>
      </c>
      <c r="B1073" s="1" t="s">
        <v>161</v>
      </c>
      <c r="C1073" s="4">
        <v>12</v>
      </c>
      <c r="D1073" s="8">
        <v>1.33</v>
      </c>
      <c r="E1073" s="4">
        <v>9</v>
      </c>
      <c r="F1073" s="8">
        <v>2.4500000000000002</v>
      </c>
      <c r="G1073" s="4">
        <v>3</v>
      </c>
      <c r="H1073" s="8">
        <v>0.56000000000000005</v>
      </c>
      <c r="I1073" s="4">
        <v>0</v>
      </c>
    </row>
    <row r="1074" spans="1:9" x14ac:dyDescent="0.2">
      <c r="A1074" s="2">
        <v>18</v>
      </c>
      <c r="B1074" s="1" t="s">
        <v>162</v>
      </c>
      <c r="C1074" s="4">
        <v>12</v>
      </c>
      <c r="D1074" s="8">
        <v>1.33</v>
      </c>
      <c r="E1074" s="4">
        <v>1</v>
      </c>
      <c r="F1074" s="8">
        <v>0.27</v>
      </c>
      <c r="G1074" s="4">
        <v>11</v>
      </c>
      <c r="H1074" s="8">
        <v>2.0699999999999998</v>
      </c>
      <c r="I1074" s="4">
        <v>0</v>
      </c>
    </row>
    <row r="1075" spans="1:9" x14ac:dyDescent="0.2">
      <c r="A1075" s="2">
        <v>20</v>
      </c>
      <c r="B1075" s="1" t="s">
        <v>154</v>
      </c>
      <c r="C1075" s="4">
        <v>11</v>
      </c>
      <c r="D1075" s="8">
        <v>1.22</v>
      </c>
      <c r="E1075" s="4">
        <v>0</v>
      </c>
      <c r="F1075" s="8">
        <v>0</v>
      </c>
      <c r="G1075" s="4">
        <v>11</v>
      </c>
      <c r="H1075" s="8">
        <v>2.0699999999999998</v>
      </c>
      <c r="I1075" s="4">
        <v>0</v>
      </c>
    </row>
    <row r="1076" spans="1:9" x14ac:dyDescent="0.2">
      <c r="A1076" s="2">
        <v>20</v>
      </c>
      <c r="B1076" s="1" t="s">
        <v>182</v>
      </c>
      <c r="C1076" s="4">
        <v>11</v>
      </c>
      <c r="D1076" s="8">
        <v>1.22</v>
      </c>
      <c r="E1076" s="4">
        <v>2</v>
      </c>
      <c r="F1076" s="8">
        <v>0.54</v>
      </c>
      <c r="G1076" s="4">
        <v>9</v>
      </c>
      <c r="H1076" s="8">
        <v>1.69</v>
      </c>
      <c r="I1076" s="4">
        <v>0</v>
      </c>
    </row>
    <row r="1077" spans="1:9" x14ac:dyDescent="0.2">
      <c r="A1077" s="2">
        <v>20</v>
      </c>
      <c r="B1077" s="1" t="s">
        <v>171</v>
      </c>
      <c r="C1077" s="4">
        <v>11</v>
      </c>
      <c r="D1077" s="8">
        <v>1.22</v>
      </c>
      <c r="E1077" s="4">
        <v>10</v>
      </c>
      <c r="F1077" s="8">
        <v>2.72</v>
      </c>
      <c r="G1077" s="4">
        <v>1</v>
      </c>
      <c r="H1077" s="8">
        <v>0.19</v>
      </c>
      <c r="I1077" s="4">
        <v>0</v>
      </c>
    </row>
    <row r="1078" spans="1:9" x14ac:dyDescent="0.2">
      <c r="A1078" s="1"/>
      <c r="C1078" s="4"/>
      <c r="D1078" s="8"/>
      <c r="E1078" s="4"/>
      <c r="F1078" s="8"/>
      <c r="G1078" s="4"/>
      <c r="H1078" s="8"/>
      <c r="I1078" s="4"/>
    </row>
    <row r="1079" spans="1:9" x14ac:dyDescent="0.2">
      <c r="A1079" s="1" t="s">
        <v>47</v>
      </c>
      <c r="C1079" s="4"/>
      <c r="D1079" s="8"/>
      <c r="E1079" s="4"/>
      <c r="F1079" s="8"/>
      <c r="G1079" s="4"/>
      <c r="H1079" s="8"/>
      <c r="I1079" s="4"/>
    </row>
    <row r="1080" spans="1:9" x14ac:dyDescent="0.2">
      <c r="A1080" s="2">
        <v>1</v>
      </c>
      <c r="B1080" s="1" t="s">
        <v>180</v>
      </c>
      <c r="C1080" s="4">
        <v>27</v>
      </c>
      <c r="D1080" s="8">
        <v>4.6500000000000004</v>
      </c>
      <c r="E1080" s="4">
        <v>5</v>
      </c>
      <c r="F1080" s="8">
        <v>1.92</v>
      </c>
      <c r="G1080" s="4">
        <v>22</v>
      </c>
      <c r="H1080" s="8">
        <v>6.92</v>
      </c>
      <c r="I1080" s="4">
        <v>0</v>
      </c>
    </row>
    <row r="1081" spans="1:9" x14ac:dyDescent="0.2">
      <c r="A1081" s="2">
        <v>2</v>
      </c>
      <c r="B1081" s="1" t="s">
        <v>174</v>
      </c>
      <c r="C1081" s="4">
        <v>21</v>
      </c>
      <c r="D1081" s="8">
        <v>3.61</v>
      </c>
      <c r="E1081" s="4">
        <v>9</v>
      </c>
      <c r="F1081" s="8">
        <v>3.46</v>
      </c>
      <c r="G1081" s="4">
        <v>12</v>
      </c>
      <c r="H1081" s="8">
        <v>3.77</v>
      </c>
      <c r="I1081" s="4">
        <v>0</v>
      </c>
    </row>
    <row r="1082" spans="1:9" x14ac:dyDescent="0.2">
      <c r="A1082" s="2">
        <v>3</v>
      </c>
      <c r="B1082" s="1" t="s">
        <v>156</v>
      </c>
      <c r="C1082" s="4">
        <v>17</v>
      </c>
      <c r="D1082" s="8">
        <v>2.93</v>
      </c>
      <c r="E1082" s="4">
        <v>2</v>
      </c>
      <c r="F1082" s="8">
        <v>0.77</v>
      </c>
      <c r="G1082" s="4">
        <v>15</v>
      </c>
      <c r="H1082" s="8">
        <v>4.72</v>
      </c>
      <c r="I1082" s="4">
        <v>0</v>
      </c>
    </row>
    <row r="1083" spans="1:9" x14ac:dyDescent="0.2">
      <c r="A1083" s="2">
        <v>3</v>
      </c>
      <c r="B1083" s="1" t="s">
        <v>159</v>
      </c>
      <c r="C1083" s="4">
        <v>17</v>
      </c>
      <c r="D1083" s="8">
        <v>2.93</v>
      </c>
      <c r="E1083" s="4">
        <v>12</v>
      </c>
      <c r="F1083" s="8">
        <v>4.62</v>
      </c>
      <c r="G1083" s="4">
        <v>5</v>
      </c>
      <c r="H1083" s="8">
        <v>1.57</v>
      </c>
      <c r="I1083" s="4">
        <v>0</v>
      </c>
    </row>
    <row r="1084" spans="1:9" x14ac:dyDescent="0.2">
      <c r="A1084" s="2">
        <v>3</v>
      </c>
      <c r="B1084" s="1" t="s">
        <v>173</v>
      </c>
      <c r="C1084" s="4">
        <v>17</v>
      </c>
      <c r="D1084" s="8">
        <v>2.93</v>
      </c>
      <c r="E1084" s="4">
        <v>11</v>
      </c>
      <c r="F1084" s="8">
        <v>4.2300000000000004</v>
      </c>
      <c r="G1084" s="4">
        <v>6</v>
      </c>
      <c r="H1084" s="8">
        <v>1.89</v>
      </c>
      <c r="I1084" s="4">
        <v>0</v>
      </c>
    </row>
    <row r="1085" spans="1:9" x14ac:dyDescent="0.2">
      <c r="A1085" s="2">
        <v>6</v>
      </c>
      <c r="B1085" s="1" t="s">
        <v>209</v>
      </c>
      <c r="C1085" s="4">
        <v>13</v>
      </c>
      <c r="D1085" s="8">
        <v>2.2400000000000002</v>
      </c>
      <c r="E1085" s="4">
        <v>5</v>
      </c>
      <c r="F1085" s="8">
        <v>1.92</v>
      </c>
      <c r="G1085" s="4">
        <v>8</v>
      </c>
      <c r="H1085" s="8">
        <v>2.52</v>
      </c>
      <c r="I1085" s="4">
        <v>0</v>
      </c>
    </row>
    <row r="1086" spans="1:9" x14ac:dyDescent="0.2">
      <c r="A1086" s="2">
        <v>6</v>
      </c>
      <c r="B1086" s="1" t="s">
        <v>170</v>
      </c>
      <c r="C1086" s="4">
        <v>13</v>
      </c>
      <c r="D1086" s="8">
        <v>2.2400000000000002</v>
      </c>
      <c r="E1086" s="4">
        <v>13</v>
      </c>
      <c r="F1086" s="8">
        <v>5</v>
      </c>
      <c r="G1086" s="4">
        <v>0</v>
      </c>
      <c r="H1086" s="8">
        <v>0</v>
      </c>
      <c r="I1086" s="4">
        <v>0</v>
      </c>
    </row>
    <row r="1087" spans="1:9" x14ac:dyDescent="0.2">
      <c r="A1087" s="2">
        <v>8</v>
      </c>
      <c r="B1087" s="1" t="s">
        <v>229</v>
      </c>
      <c r="C1087" s="4">
        <v>12</v>
      </c>
      <c r="D1087" s="8">
        <v>2.0699999999999998</v>
      </c>
      <c r="E1087" s="4">
        <v>5</v>
      </c>
      <c r="F1087" s="8">
        <v>1.92</v>
      </c>
      <c r="G1087" s="4">
        <v>7</v>
      </c>
      <c r="H1087" s="8">
        <v>2.2000000000000002</v>
      </c>
      <c r="I1087" s="4">
        <v>0</v>
      </c>
    </row>
    <row r="1088" spans="1:9" x14ac:dyDescent="0.2">
      <c r="A1088" s="2">
        <v>8</v>
      </c>
      <c r="B1088" s="1" t="s">
        <v>224</v>
      </c>
      <c r="C1088" s="4">
        <v>12</v>
      </c>
      <c r="D1088" s="8">
        <v>2.0699999999999998</v>
      </c>
      <c r="E1088" s="4">
        <v>1</v>
      </c>
      <c r="F1088" s="8">
        <v>0.38</v>
      </c>
      <c r="G1088" s="4">
        <v>11</v>
      </c>
      <c r="H1088" s="8">
        <v>3.46</v>
      </c>
      <c r="I1088" s="4">
        <v>0</v>
      </c>
    </row>
    <row r="1089" spans="1:9" x14ac:dyDescent="0.2">
      <c r="A1089" s="2">
        <v>10</v>
      </c>
      <c r="B1089" s="1" t="s">
        <v>155</v>
      </c>
      <c r="C1089" s="4">
        <v>11</v>
      </c>
      <c r="D1089" s="8">
        <v>1.89</v>
      </c>
      <c r="E1089" s="4">
        <v>1</v>
      </c>
      <c r="F1089" s="8">
        <v>0.38</v>
      </c>
      <c r="G1089" s="4">
        <v>10</v>
      </c>
      <c r="H1089" s="8">
        <v>3.14</v>
      </c>
      <c r="I1089" s="4">
        <v>0</v>
      </c>
    </row>
    <row r="1090" spans="1:9" x14ac:dyDescent="0.2">
      <c r="A1090" s="2">
        <v>10</v>
      </c>
      <c r="B1090" s="1" t="s">
        <v>192</v>
      </c>
      <c r="C1090" s="4">
        <v>11</v>
      </c>
      <c r="D1090" s="8">
        <v>1.89</v>
      </c>
      <c r="E1090" s="4">
        <v>2</v>
      </c>
      <c r="F1090" s="8">
        <v>0.77</v>
      </c>
      <c r="G1090" s="4">
        <v>9</v>
      </c>
      <c r="H1090" s="8">
        <v>2.83</v>
      </c>
      <c r="I1090" s="4">
        <v>0</v>
      </c>
    </row>
    <row r="1091" spans="1:9" x14ac:dyDescent="0.2">
      <c r="A1091" s="2">
        <v>10</v>
      </c>
      <c r="B1091" s="1" t="s">
        <v>164</v>
      </c>
      <c r="C1091" s="4">
        <v>11</v>
      </c>
      <c r="D1091" s="8">
        <v>1.89</v>
      </c>
      <c r="E1091" s="4">
        <v>6</v>
      </c>
      <c r="F1091" s="8">
        <v>2.31</v>
      </c>
      <c r="G1091" s="4">
        <v>5</v>
      </c>
      <c r="H1091" s="8">
        <v>1.57</v>
      </c>
      <c r="I1091" s="4">
        <v>0</v>
      </c>
    </row>
    <row r="1092" spans="1:9" x14ac:dyDescent="0.2">
      <c r="A1092" s="2">
        <v>10</v>
      </c>
      <c r="B1092" s="1" t="s">
        <v>172</v>
      </c>
      <c r="C1092" s="4">
        <v>11</v>
      </c>
      <c r="D1092" s="8">
        <v>1.89</v>
      </c>
      <c r="E1092" s="4">
        <v>11</v>
      </c>
      <c r="F1092" s="8">
        <v>4.2300000000000004</v>
      </c>
      <c r="G1092" s="4">
        <v>0</v>
      </c>
      <c r="H1092" s="8">
        <v>0</v>
      </c>
      <c r="I1092" s="4">
        <v>0</v>
      </c>
    </row>
    <row r="1093" spans="1:9" x14ac:dyDescent="0.2">
      <c r="A1093" s="2">
        <v>14</v>
      </c>
      <c r="B1093" s="1" t="s">
        <v>154</v>
      </c>
      <c r="C1093" s="4">
        <v>10</v>
      </c>
      <c r="D1093" s="8">
        <v>1.72</v>
      </c>
      <c r="E1093" s="4">
        <v>2</v>
      </c>
      <c r="F1093" s="8">
        <v>0.77</v>
      </c>
      <c r="G1093" s="4">
        <v>8</v>
      </c>
      <c r="H1093" s="8">
        <v>2.52</v>
      </c>
      <c r="I1093" s="4">
        <v>0</v>
      </c>
    </row>
    <row r="1094" spans="1:9" x14ac:dyDescent="0.2">
      <c r="A1094" s="2">
        <v>14</v>
      </c>
      <c r="B1094" s="1" t="s">
        <v>186</v>
      </c>
      <c r="C1094" s="4">
        <v>10</v>
      </c>
      <c r="D1094" s="8">
        <v>1.72</v>
      </c>
      <c r="E1094" s="4">
        <v>9</v>
      </c>
      <c r="F1094" s="8">
        <v>3.46</v>
      </c>
      <c r="G1094" s="4">
        <v>1</v>
      </c>
      <c r="H1094" s="8">
        <v>0.31</v>
      </c>
      <c r="I1094" s="4">
        <v>0</v>
      </c>
    </row>
    <row r="1095" spans="1:9" x14ac:dyDescent="0.2">
      <c r="A1095" s="2">
        <v>14</v>
      </c>
      <c r="B1095" s="1" t="s">
        <v>202</v>
      </c>
      <c r="C1095" s="4">
        <v>10</v>
      </c>
      <c r="D1095" s="8">
        <v>1.72</v>
      </c>
      <c r="E1095" s="4">
        <v>6</v>
      </c>
      <c r="F1095" s="8">
        <v>2.31</v>
      </c>
      <c r="G1095" s="4">
        <v>4</v>
      </c>
      <c r="H1095" s="8">
        <v>1.26</v>
      </c>
      <c r="I1095" s="4">
        <v>0</v>
      </c>
    </row>
    <row r="1096" spans="1:9" x14ac:dyDescent="0.2">
      <c r="A1096" s="2">
        <v>14</v>
      </c>
      <c r="B1096" s="1" t="s">
        <v>203</v>
      </c>
      <c r="C1096" s="4">
        <v>10</v>
      </c>
      <c r="D1096" s="8">
        <v>1.72</v>
      </c>
      <c r="E1096" s="4">
        <v>4</v>
      </c>
      <c r="F1096" s="8">
        <v>1.54</v>
      </c>
      <c r="G1096" s="4">
        <v>6</v>
      </c>
      <c r="H1096" s="8">
        <v>1.89</v>
      </c>
      <c r="I1096" s="4">
        <v>0</v>
      </c>
    </row>
    <row r="1097" spans="1:9" x14ac:dyDescent="0.2">
      <c r="A1097" s="2">
        <v>14</v>
      </c>
      <c r="B1097" s="1" t="s">
        <v>227</v>
      </c>
      <c r="C1097" s="4">
        <v>10</v>
      </c>
      <c r="D1097" s="8">
        <v>1.72</v>
      </c>
      <c r="E1097" s="4">
        <v>10</v>
      </c>
      <c r="F1097" s="8">
        <v>3.85</v>
      </c>
      <c r="G1097" s="4">
        <v>0</v>
      </c>
      <c r="H1097" s="8">
        <v>0</v>
      </c>
      <c r="I1097" s="4">
        <v>0</v>
      </c>
    </row>
    <row r="1098" spans="1:9" x14ac:dyDescent="0.2">
      <c r="A1098" s="2">
        <v>14</v>
      </c>
      <c r="B1098" s="1" t="s">
        <v>169</v>
      </c>
      <c r="C1098" s="4">
        <v>10</v>
      </c>
      <c r="D1098" s="8">
        <v>1.72</v>
      </c>
      <c r="E1098" s="4">
        <v>10</v>
      </c>
      <c r="F1098" s="8">
        <v>3.85</v>
      </c>
      <c r="G1098" s="4">
        <v>0</v>
      </c>
      <c r="H1098" s="8">
        <v>0</v>
      </c>
      <c r="I1098" s="4">
        <v>0</v>
      </c>
    </row>
    <row r="1099" spans="1:9" x14ac:dyDescent="0.2">
      <c r="A1099" s="2">
        <v>20</v>
      </c>
      <c r="B1099" s="1" t="s">
        <v>160</v>
      </c>
      <c r="C1099" s="4">
        <v>9</v>
      </c>
      <c r="D1099" s="8">
        <v>1.55</v>
      </c>
      <c r="E1099" s="4">
        <v>4</v>
      </c>
      <c r="F1099" s="8">
        <v>1.54</v>
      </c>
      <c r="G1099" s="4">
        <v>5</v>
      </c>
      <c r="H1099" s="8">
        <v>1.57</v>
      </c>
      <c r="I1099" s="4">
        <v>0</v>
      </c>
    </row>
    <row r="1100" spans="1:9" x14ac:dyDescent="0.2">
      <c r="A1100" s="2">
        <v>20</v>
      </c>
      <c r="B1100" s="1" t="s">
        <v>171</v>
      </c>
      <c r="C1100" s="4">
        <v>9</v>
      </c>
      <c r="D1100" s="8">
        <v>1.55</v>
      </c>
      <c r="E1100" s="4">
        <v>8</v>
      </c>
      <c r="F1100" s="8">
        <v>3.08</v>
      </c>
      <c r="G1100" s="4">
        <v>1</v>
      </c>
      <c r="H1100" s="8">
        <v>0.31</v>
      </c>
      <c r="I1100" s="4">
        <v>0</v>
      </c>
    </row>
    <row r="1101" spans="1:9" x14ac:dyDescent="0.2">
      <c r="A1101" s="1"/>
      <c r="C1101" s="4"/>
      <c r="D1101" s="8"/>
      <c r="E1101" s="4"/>
      <c r="F1101" s="8"/>
      <c r="G1101" s="4"/>
      <c r="H1101" s="8"/>
      <c r="I1101" s="4"/>
    </row>
    <row r="1102" spans="1:9" x14ac:dyDescent="0.2">
      <c r="A1102" s="1" t="s">
        <v>48</v>
      </c>
      <c r="C1102" s="4"/>
      <c r="D1102" s="8"/>
      <c r="E1102" s="4"/>
      <c r="F1102" s="8"/>
      <c r="G1102" s="4"/>
      <c r="H1102" s="8"/>
      <c r="I1102" s="4"/>
    </row>
    <row r="1103" spans="1:9" x14ac:dyDescent="0.2">
      <c r="A1103" s="2">
        <v>1</v>
      </c>
      <c r="B1103" s="1" t="s">
        <v>164</v>
      </c>
      <c r="C1103" s="4">
        <v>20</v>
      </c>
      <c r="D1103" s="8">
        <v>4.0599999999999996</v>
      </c>
      <c r="E1103" s="4">
        <v>2</v>
      </c>
      <c r="F1103" s="8">
        <v>1.23</v>
      </c>
      <c r="G1103" s="4">
        <v>18</v>
      </c>
      <c r="H1103" s="8">
        <v>5.47</v>
      </c>
      <c r="I1103" s="4">
        <v>0</v>
      </c>
    </row>
    <row r="1104" spans="1:9" x14ac:dyDescent="0.2">
      <c r="A1104" s="2">
        <v>2</v>
      </c>
      <c r="B1104" s="1" t="s">
        <v>163</v>
      </c>
      <c r="C1104" s="4">
        <v>19</v>
      </c>
      <c r="D1104" s="8">
        <v>3.85</v>
      </c>
      <c r="E1104" s="4">
        <v>0</v>
      </c>
      <c r="F1104" s="8">
        <v>0</v>
      </c>
      <c r="G1104" s="4">
        <v>19</v>
      </c>
      <c r="H1104" s="8">
        <v>5.78</v>
      </c>
      <c r="I1104" s="4">
        <v>0</v>
      </c>
    </row>
    <row r="1105" spans="1:9" x14ac:dyDescent="0.2">
      <c r="A1105" s="2">
        <v>3</v>
      </c>
      <c r="B1105" s="1" t="s">
        <v>159</v>
      </c>
      <c r="C1105" s="4">
        <v>18</v>
      </c>
      <c r="D1105" s="8">
        <v>3.65</v>
      </c>
      <c r="E1105" s="4">
        <v>10</v>
      </c>
      <c r="F1105" s="8">
        <v>6.13</v>
      </c>
      <c r="G1105" s="4">
        <v>8</v>
      </c>
      <c r="H1105" s="8">
        <v>2.4300000000000002</v>
      </c>
      <c r="I1105" s="4">
        <v>0</v>
      </c>
    </row>
    <row r="1106" spans="1:9" x14ac:dyDescent="0.2">
      <c r="A1106" s="2">
        <v>4</v>
      </c>
      <c r="B1106" s="1" t="s">
        <v>170</v>
      </c>
      <c r="C1106" s="4">
        <v>15</v>
      </c>
      <c r="D1106" s="8">
        <v>3.04</v>
      </c>
      <c r="E1106" s="4">
        <v>13</v>
      </c>
      <c r="F1106" s="8">
        <v>7.98</v>
      </c>
      <c r="G1106" s="4">
        <v>2</v>
      </c>
      <c r="H1106" s="8">
        <v>0.61</v>
      </c>
      <c r="I1106" s="4">
        <v>0</v>
      </c>
    </row>
    <row r="1107" spans="1:9" x14ac:dyDescent="0.2">
      <c r="A1107" s="2">
        <v>5</v>
      </c>
      <c r="B1107" s="1" t="s">
        <v>154</v>
      </c>
      <c r="C1107" s="4">
        <v>11</v>
      </c>
      <c r="D1107" s="8">
        <v>2.23</v>
      </c>
      <c r="E1107" s="4">
        <v>0</v>
      </c>
      <c r="F1107" s="8">
        <v>0</v>
      </c>
      <c r="G1107" s="4">
        <v>11</v>
      </c>
      <c r="H1107" s="8">
        <v>3.34</v>
      </c>
      <c r="I1107" s="4">
        <v>0</v>
      </c>
    </row>
    <row r="1108" spans="1:9" x14ac:dyDescent="0.2">
      <c r="A1108" s="2">
        <v>6</v>
      </c>
      <c r="B1108" s="1" t="s">
        <v>160</v>
      </c>
      <c r="C1108" s="4">
        <v>10</v>
      </c>
      <c r="D1108" s="8">
        <v>2.0299999999999998</v>
      </c>
      <c r="E1108" s="4">
        <v>2</v>
      </c>
      <c r="F1108" s="8">
        <v>1.23</v>
      </c>
      <c r="G1108" s="4">
        <v>8</v>
      </c>
      <c r="H1108" s="8">
        <v>2.4300000000000002</v>
      </c>
      <c r="I1108" s="4">
        <v>0</v>
      </c>
    </row>
    <row r="1109" spans="1:9" x14ac:dyDescent="0.2">
      <c r="A1109" s="2">
        <v>7</v>
      </c>
      <c r="B1109" s="1" t="s">
        <v>174</v>
      </c>
      <c r="C1109" s="4">
        <v>9</v>
      </c>
      <c r="D1109" s="8">
        <v>1.83</v>
      </c>
      <c r="E1109" s="4">
        <v>1</v>
      </c>
      <c r="F1109" s="8">
        <v>0.61</v>
      </c>
      <c r="G1109" s="4">
        <v>8</v>
      </c>
      <c r="H1109" s="8">
        <v>2.4300000000000002</v>
      </c>
      <c r="I1109" s="4">
        <v>0</v>
      </c>
    </row>
    <row r="1110" spans="1:9" x14ac:dyDescent="0.2">
      <c r="A1110" s="2">
        <v>7</v>
      </c>
      <c r="B1110" s="1" t="s">
        <v>224</v>
      </c>
      <c r="C1110" s="4">
        <v>9</v>
      </c>
      <c r="D1110" s="8">
        <v>1.83</v>
      </c>
      <c r="E1110" s="4">
        <v>0</v>
      </c>
      <c r="F1110" s="8">
        <v>0</v>
      </c>
      <c r="G1110" s="4">
        <v>9</v>
      </c>
      <c r="H1110" s="8">
        <v>2.74</v>
      </c>
      <c r="I1110" s="4">
        <v>0</v>
      </c>
    </row>
    <row r="1111" spans="1:9" x14ac:dyDescent="0.2">
      <c r="A1111" s="2">
        <v>7</v>
      </c>
      <c r="B1111" s="1" t="s">
        <v>162</v>
      </c>
      <c r="C1111" s="4">
        <v>9</v>
      </c>
      <c r="D1111" s="8">
        <v>1.83</v>
      </c>
      <c r="E1111" s="4">
        <v>0</v>
      </c>
      <c r="F1111" s="8">
        <v>0</v>
      </c>
      <c r="G1111" s="4">
        <v>9</v>
      </c>
      <c r="H1111" s="8">
        <v>2.74</v>
      </c>
      <c r="I1111" s="4">
        <v>0</v>
      </c>
    </row>
    <row r="1112" spans="1:9" x14ac:dyDescent="0.2">
      <c r="A1112" s="2">
        <v>7</v>
      </c>
      <c r="B1112" s="1" t="s">
        <v>167</v>
      </c>
      <c r="C1112" s="4">
        <v>9</v>
      </c>
      <c r="D1112" s="8">
        <v>1.83</v>
      </c>
      <c r="E1112" s="4">
        <v>7</v>
      </c>
      <c r="F1112" s="8">
        <v>4.29</v>
      </c>
      <c r="G1112" s="4">
        <v>2</v>
      </c>
      <c r="H1112" s="8">
        <v>0.61</v>
      </c>
      <c r="I1112" s="4">
        <v>0</v>
      </c>
    </row>
    <row r="1113" spans="1:9" x14ac:dyDescent="0.2">
      <c r="A1113" s="2">
        <v>11</v>
      </c>
      <c r="B1113" s="1" t="s">
        <v>158</v>
      </c>
      <c r="C1113" s="4">
        <v>8</v>
      </c>
      <c r="D1113" s="8">
        <v>1.62</v>
      </c>
      <c r="E1113" s="4">
        <v>4</v>
      </c>
      <c r="F1113" s="8">
        <v>2.4500000000000002</v>
      </c>
      <c r="G1113" s="4">
        <v>4</v>
      </c>
      <c r="H1113" s="8">
        <v>1.22</v>
      </c>
      <c r="I1113" s="4">
        <v>0</v>
      </c>
    </row>
    <row r="1114" spans="1:9" x14ac:dyDescent="0.2">
      <c r="A1114" s="2">
        <v>11</v>
      </c>
      <c r="B1114" s="1" t="s">
        <v>205</v>
      </c>
      <c r="C1114" s="4">
        <v>8</v>
      </c>
      <c r="D1114" s="8">
        <v>1.62</v>
      </c>
      <c r="E1114" s="4">
        <v>3</v>
      </c>
      <c r="F1114" s="8">
        <v>1.84</v>
      </c>
      <c r="G1114" s="4">
        <v>5</v>
      </c>
      <c r="H1114" s="8">
        <v>1.52</v>
      </c>
      <c r="I1114" s="4">
        <v>0</v>
      </c>
    </row>
    <row r="1115" spans="1:9" x14ac:dyDescent="0.2">
      <c r="A1115" s="2">
        <v>11</v>
      </c>
      <c r="B1115" s="1" t="s">
        <v>169</v>
      </c>
      <c r="C1115" s="4">
        <v>8</v>
      </c>
      <c r="D1115" s="8">
        <v>1.62</v>
      </c>
      <c r="E1115" s="4">
        <v>7</v>
      </c>
      <c r="F1115" s="8">
        <v>4.29</v>
      </c>
      <c r="G1115" s="4">
        <v>1</v>
      </c>
      <c r="H1115" s="8">
        <v>0.3</v>
      </c>
      <c r="I1115" s="4">
        <v>0</v>
      </c>
    </row>
    <row r="1116" spans="1:9" x14ac:dyDescent="0.2">
      <c r="A1116" s="2">
        <v>11</v>
      </c>
      <c r="B1116" s="1" t="s">
        <v>171</v>
      </c>
      <c r="C1116" s="4">
        <v>8</v>
      </c>
      <c r="D1116" s="8">
        <v>1.62</v>
      </c>
      <c r="E1116" s="4">
        <v>8</v>
      </c>
      <c r="F1116" s="8">
        <v>4.91</v>
      </c>
      <c r="G1116" s="4">
        <v>0</v>
      </c>
      <c r="H1116" s="8">
        <v>0</v>
      </c>
      <c r="I1116" s="4">
        <v>0</v>
      </c>
    </row>
    <row r="1117" spans="1:9" x14ac:dyDescent="0.2">
      <c r="A1117" s="2">
        <v>11</v>
      </c>
      <c r="B1117" s="1" t="s">
        <v>173</v>
      </c>
      <c r="C1117" s="4">
        <v>8</v>
      </c>
      <c r="D1117" s="8">
        <v>1.62</v>
      </c>
      <c r="E1117" s="4">
        <v>5</v>
      </c>
      <c r="F1117" s="8">
        <v>3.07</v>
      </c>
      <c r="G1117" s="4">
        <v>3</v>
      </c>
      <c r="H1117" s="8">
        <v>0.91</v>
      </c>
      <c r="I1117" s="4">
        <v>0</v>
      </c>
    </row>
    <row r="1118" spans="1:9" x14ac:dyDescent="0.2">
      <c r="A1118" s="2">
        <v>16</v>
      </c>
      <c r="B1118" s="1" t="s">
        <v>155</v>
      </c>
      <c r="C1118" s="4">
        <v>7</v>
      </c>
      <c r="D1118" s="8">
        <v>1.42</v>
      </c>
      <c r="E1118" s="4">
        <v>1</v>
      </c>
      <c r="F1118" s="8">
        <v>0.61</v>
      </c>
      <c r="G1118" s="4">
        <v>6</v>
      </c>
      <c r="H1118" s="8">
        <v>1.82</v>
      </c>
      <c r="I1118" s="4">
        <v>0</v>
      </c>
    </row>
    <row r="1119" spans="1:9" x14ac:dyDescent="0.2">
      <c r="A1119" s="2">
        <v>16</v>
      </c>
      <c r="B1119" s="1" t="s">
        <v>203</v>
      </c>
      <c r="C1119" s="4">
        <v>7</v>
      </c>
      <c r="D1119" s="8">
        <v>1.42</v>
      </c>
      <c r="E1119" s="4">
        <v>1</v>
      </c>
      <c r="F1119" s="8">
        <v>0.61</v>
      </c>
      <c r="G1119" s="4">
        <v>6</v>
      </c>
      <c r="H1119" s="8">
        <v>1.82</v>
      </c>
      <c r="I1119" s="4">
        <v>0</v>
      </c>
    </row>
    <row r="1120" spans="1:9" x14ac:dyDescent="0.2">
      <c r="A1120" s="2">
        <v>16</v>
      </c>
      <c r="B1120" s="1" t="s">
        <v>156</v>
      </c>
      <c r="C1120" s="4">
        <v>7</v>
      </c>
      <c r="D1120" s="8">
        <v>1.42</v>
      </c>
      <c r="E1120" s="4">
        <v>1</v>
      </c>
      <c r="F1120" s="8">
        <v>0.61</v>
      </c>
      <c r="G1120" s="4">
        <v>6</v>
      </c>
      <c r="H1120" s="8">
        <v>1.82</v>
      </c>
      <c r="I1120" s="4">
        <v>0</v>
      </c>
    </row>
    <row r="1121" spans="1:9" x14ac:dyDescent="0.2">
      <c r="A1121" s="2">
        <v>16</v>
      </c>
      <c r="B1121" s="1" t="s">
        <v>194</v>
      </c>
      <c r="C1121" s="4">
        <v>7</v>
      </c>
      <c r="D1121" s="8">
        <v>1.42</v>
      </c>
      <c r="E1121" s="4">
        <v>2</v>
      </c>
      <c r="F1121" s="8">
        <v>1.23</v>
      </c>
      <c r="G1121" s="4">
        <v>5</v>
      </c>
      <c r="H1121" s="8">
        <v>1.52</v>
      </c>
      <c r="I1121" s="4">
        <v>0</v>
      </c>
    </row>
    <row r="1122" spans="1:9" x14ac:dyDescent="0.2">
      <c r="A1122" s="2">
        <v>16</v>
      </c>
      <c r="B1122" s="1" t="s">
        <v>192</v>
      </c>
      <c r="C1122" s="4">
        <v>7</v>
      </c>
      <c r="D1122" s="8">
        <v>1.42</v>
      </c>
      <c r="E1122" s="4">
        <v>2</v>
      </c>
      <c r="F1122" s="8">
        <v>1.23</v>
      </c>
      <c r="G1122" s="4">
        <v>5</v>
      </c>
      <c r="H1122" s="8">
        <v>1.52</v>
      </c>
      <c r="I1122" s="4">
        <v>0</v>
      </c>
    </row>
    <row r="1123" spans="1:9" x14ac:dyDescent="0.2">
      <c r="A1123" s="2">
        <v>16</v>
      </c>
      <c r="B1123" s="1" t="s">
        <v>222</v>
      </c>
      <c r="C1123" s="4">
        <v>7</v>
      </c>
      <c r="D1123" s="8">
        <v>1.42</v>
      </c>
      <c r="E1123" s="4">
        <v>0</v>
      </c>
      <c r="F1123" s="8">
        <v>0</v>
      </c>
      <c r="G1123" s="4">
        <v>7</v>
      </c>
      <c r="H1123" s="8">
        <v>2.13</v>
      </c>
      <c r="I1123" s="4">
        <v>0</v>
      </c>
    </row>
    <row r="1124" spans="1:9" x14ac:dyDescent="0.2">
      <c r="A1124" s="2">
        <v>16</v>
      </c>
      <c r="B1124" s="1" t="s">
        <v>172</v>
      </c>
      <c r="C1124" s="4">
        <v>7</v>
      </c>
      <c r="D1124" s="8">
        <v>1.42</v>
      </c>
      <c r="E1124" s="4">
        <v>5</v>
      </c>
      <c r="F1124" s="8">
        <v>3.07</v>
      </c>
      <c r="G1124" s="4">
        <v>2</v>
      </c>
      <c r="H1124" s="8">
        <v>0.61</v>
      </c>
      <c r="I1124" s="4">
        <v>0</v>
      </c>
    </row>
    <row r="1125" spans="1:9" x14ac:dyDescent="0.2">
      <c r="A1125" s="1"/>
      <c r="C1125" s="4"/>
      <c r="D1125" s="8"/>
      <c r="E1125" s="4"/>
      <c r="F1125" s="8"/>
      <c r="G1125" s="4"/>
      <c r="H1125" s="8"/>
      <c r="I1125" s="4"/>
    </row>
    <row r="1126" spans="1:9" x14ac:dyDescent="0.2">
      <c r="A1126" s="1" t="s">
        <v>49</v>
      </c>
      <c r="C1126" s="4"/>
      <c r="D1126" s="8"/>
      <c r="E1126" s="4"/>
      <c r="F1126" s="8"/>
      <c r="G1126" s="4"/>
      <c r="H1126" s="8"/>
      <c r="I1126" s="4"/>
    </row>
    <row r="1127" spans="1:9" x14ac:dyDescent="0.2">
      <c r="A1127" s="2">
        <v>1</v>
      </c>
      <c r="B1127" s="1" t="s">
        <v>159</v>
      </c>
      <c r="C1127" s="4">
        <v>12</v>
      </c>
      <c r="D1127" s="8">
        <v>5.91</v>
      </c>
      <c r="E1127" s="4">
        <v>5</v>
      </c>
      <c r="F1127" s="8">
        <v>6.67</v>
      </c>
      <c r="G1127" s="4">
        <v>7</v>
      </c>
      <c r="H1127" s="8">
        <v>5.56</v>
      </c>
      <c r="I1127" s="4">
        <v>0</v>
      </c>
    </row>
    <row r="1128" spans="1:9" x14ac:dyDescent="0.2">
      <c r="A1128" s="2">
        <v>2</v>
      </c>
      <c r="B1128" s="1" t="s">
        <v>154</v>
      </c>
      <c r="C1128" s="4">
        <v>7</v>
      </c>
      <c r="D1128" s="8">
        <v>3.45</v>
      </c>
      <c r="E1128" s="4">
        <v>0</v>
      </c>
      <c r="F1128" s="8">
        <v>0</v>
      </c>
      <c r="G1128" s="4">
        <v>7</v>
      </c>
      <c r="H1128" s="8">
        <v>5.56</v>
      </c>
      <c r="I1128" s="4">
        <v>0</v>
      </c>
    </row>
    <row r="1129" spans="1:9" x14ac:dyDescent="0.2">
      <c r="A1129" s="2">
        <v>3</v>
      </c>
      <c r="B1129" s="1" t="s">
        <v>178</v>
      </c>
      <c r="C1129" s="4">
        <v>6</v>
      </c>
      <c r="D1129" s="8">
        <v>2.96</v>
      </c>
      <c r="E1129" s="4">
        <v>4</v>
      </c>
      <c r="F1129" s="8">
        <v>5.33</v>
      </c>
      <c r="G1129" s="4">
        <v>2</v>
      </c>
      <c r="H1129" s="8">
        <v>1.59</v>
      </c>
      <c r="I1129" s="4">
        <v>0</v>
      </c>
    </row>
    <row r="1130" spans="1:9" x14ac:dyDescent="0.2">
      <c r="A1130" s="2">
        <v>3</v>
      </c>
      <c r="B1130" s="1" t="s">
        <v>166</v>
      </c>
      <c r="C1130" s="4">
        <v>6</v>
      </c>
      <c r="D1130" s="8">
        <v>2.96</v>
      </c>
      <c r="E1130" s="4">
        <v>3</v>
      </c>
      <c r="F1130" s="8">
        <v>4</v>
      </c>
      <c r="G1130" s="4">
        <v>3</v>
      </c>
      <c r="H1130" s="8">
        <v>2.38</v>
      </c>
      <c r="I1130" s="4">
        <v>0</v>
      </c>
    </row>
    <row r="1131" spans="1:9" x14ac:dyDescent="0.2">
      <c r="A1131" s="2">
        <v>3</v>
      </c>
      <c r="B1131" s="1" t="s">
        <v>173</v>
      </c>
      <c r="C1131" s="4">
        <v>6</v>
      </c>
      <c r="D1131" s="8">
        <v>2.96</v>
      </c>
      <c r="E1131" s="4">
        <v>5</v>
      </c>
      <c r="F1131" s="8">
        <v>6.67</v>
      </c>
      <c r="G1131" s="4">
        <v>1</v>
      </c>
      <c r="H1131" s="8">
        <v>0.79</v>
      </c>
      <c r="I1131" s="4">
        <v>0</v>
      </c>
    </row>
    <row r="1132" spans="1:9" x14ac:dyDescent="0.2">
      <c r="A1132" s="2">
        <v>6</v>
      </c>
      <c r="B1132" s="1" t="s">
        <v>155</v>
      </c>
      <c r="C1132" s="4">
        <v>5</v>
      </c>
      <c r="D1132" s="8">
        <v>2.46</v>
      </c>
      <c r="E1132" s="4">
        <v>2</v>
      </c>
      <c r="F1132" s="8">
        <v>2.67</v>
      </c>
      <c r="G1132" s="4">
        <v>3</v>
      </c>
      <c r="H1132" s="8">
        <v>2.38</v>
      </c>
      <c r="I1132" s="4">
        <v>0</v>
      </c>
    </row>
    <row r="1133" spans="1:9" x14ac:dyDescent="0.2">
      <c r="A1133" s="2">
        <v>6</v>
      </c>
      <c r="B1133" s="1" t="s">
        <v>177</v>
      </c>
      <c r="C1133" s="4">
        <v>5</v>
      </c>
      <c r="D1133" s="8">
        <v>2.46</v>
      </c>
      <c r="E1133" s="4">
        <v>5</v>
      </c>
      <c r="F1133" s="8">
        <v>6.67</v>
      </c>
      <c r="G1133" s="4">
        <v>0</v>
      </c>
      <c r="H1133" s="8">
        <v>0</v>
      </c>
      <c r="I1133" s="4">
        <v>0</v>
      </c>
    </row>
    <row r="1134" spans="1:9" x14ac:dyDescent="0.2">
      <c r="A1134" s="2">
        <v>8</v>
      </c>
      <c r="B1134" s="1" t="s">
        <v>233</v>
      </c>
      <c r="C1134" s="4">
        <v>4</v>
      </c>
      <c r="D1134" s="8">
        <v>1.97</v>
      </c>
      <c r="E1134" s="4">
        <v>1</v>
      </c>
      <c r="F1134" s="8">
        <v>1.33</v>
      </c>
      <c r="G1134" s="4">
        <v>3</v>
      </c>
      <c r="H1134" s="8">
        <v>2.38</v>
      </c>
      <c r="I1134" s="4">
        <v>0</v>
      </c>
    </row>
    <row r="1135" spans="1:9" x14ac:dyDescent="0.2">
      <c r="A1135" s="2">
        <v>8</v>
      </c>
      <c r="B1135" s="1" t="s">
        <v>174</v>
      </c>
      <c r="C1135" s="4">
        <v>4</v>
      </c>
      <c r="D1135" s="8">
        <v>1.97</v>
      </c>
      <c r="E1135" s="4">
        <v>2</v>
      </c>
      <c r="F1135" s="8">
        <v>2.67</v>
      </c>
      <c r="G1135" s="4">
        <v>2</v>
      </c>
      <c r="H1135" s="8">
        <v>1.59</v>
      </c>
      <c r="I1135" s="4">
        <v>0</v>
      </c>
    </row>
    <row r="1136" spans="1:9" x14ac:dyDescent="0.2">
      <c r="A1136" s="2">
        <v>8</v>
      </c>
      <c r="B1136" s="1" t="s">
        <v>185</v>
      </c>
      <c r="C1136" s="4">
        <v>4</v>
      </c>
      <c r="D1136" s="8">
        <v>1.97</v>
      </c>
      <c r="E1136" s="4">
        <v>0</v>
      </c>
      <c r="F1136" s="8">
        <v>0</v>
      </c>
      <c r="G1136" s="4">
        <v>4</v>
      </c>
      <c r="H1136" s="8">
        <v>3.17</v>
      </c>
      <c r="I1136" s="4">
        <v>0</v>
      </c>
    </row>
    <row r="1137" spans="1:9" x14ac:dyDescent="0.2">
      <c r="A1137" s="2">
        <v>8</v>
      </c>
      <c r="B1137" s="1" t="s">
        <v>243</v>
      </c>
      <c r="C1137" s="4">
        <v>4</v>
      </c>
      <c r="D1137" s="8">
        <v>1.97</v>
      </c>
      <c r="E1137" s="4">
        <v>0</v>
      </c>
      <c r="F1137" s="8">
        <v>0</v>
      </c>
      <c r="G1137" s="4">
        <v>4</v>
      </c>
      <c r="H1137" s="8">
        <v>3.17</v>
      </c>
      <c r="I1137" s="4">
        <v>0</v>
      </c>
    </row>
    <row r="1138" spans="1:9" x14ac:dyDescent="0.2">
      <c r="A1138" s="2">
        <v>8</v>
      </c>
      <c r="B1138" s="1" t="s">
        <v>172</v>
      </c>
      <c r="C1138" s="4">
        <v>4</v>
      </c>
      <c r="D1138" s="8">
        <v>1.97</v>
      </c>
      <c r="E1138" s="4">
        <v>4</v>
      </c>
      <c r="F1138" s="8">
        <v>5.33</v>
      </c>
      <c r="G1138" s="4">
        <v>0</v>
      </c>
      <c r="H1138" s="8">
        <v>0</v>
      </c>
      <c r="I1138" s="4">
        <v>0</v>
      </c>
    </row>
    <row r="1139" spans="1:9" x14ac:dyDescent="0.2">
      <c r="A1139" s="2">
        <v>13</v>
      </c>
      <c r="B1139" s="1" t="s">
        <v>156</v>
      </c>
      <c r="C1139" s="4">
        <v>3</v>
      </c>
      <c r="D1139" s="8">
        <v>1.48</v>
      </c>
      <c r="E1139" s="4">
        <v>2</v>
      </c>
      <c r="F1139" s="8">
        <v>2.67</v>
      </c>
      <c r="G1139" s="4">
        <v>1</v>
      </c>
      <c r="H1139" s="8">
        <v>0.79</v>
      </c>
      <c r="I1139" s="4">
        <v>0</v>
      </c>
    </row>
    <row r="1140" spans="1:9" x14ac:dyDescent="0.2">
      <c r="A1140" s="2">
        <v>13</v>
      </c>
      <c r="B1140" s="1" t="s">
        <v>240</v>
      </c>
      <c r="C1140" s="4">
        <v>3</v>
      </c>
      <c r="D1140" s="8">
        <v>1.48</v>
      </c>
      <c r="E1140" s="4">
        <v>0</v>
      </c>
      <c r="F1140" s="8">
        <v>0</v>
      </c>
      <c r="G1140" s="4">
        <v>3</v>
      </c>
      <c r="H1140" s="8">
        <v>2.38</v>
      </c>
      <c r="I1140" s="4">
        <v>0</v>
      </c>
    </row>
    <row r="1141" spans="1:9" x14ac:dyDescent="0.2">
      <c r="A1141" s="2">
        <v>13</v>
      </c>
      <c r="B1141" s="1" t="s">
        <v>158</v>
      </c>
      <c r="C1141" s="4">
        <v>3</v>
      </c>
      <c r="D1141" s="8">
        <v>1.48</v>
      </c>
      <c r="E1141" s="4">
        <v>3</v>
      </c>
      <c r="F1141" s="8">
        <v>4</v>
      </c>
      <c r="G1141" s="4">
        <v>0</v>
      </c>
      <c r="H1141" s="8">
        <v>0</v>
      </c>
      <c r="I1141" s="4">
        <v>0</v>
      </c>
    </row>
    <row r="1142" spans="1:9" x14ac:dyDescent="0.2">
      <c r="A1142" s="2">
        <v>13</v>
      </c>
      <c r="B1142" s="1" t="s">
        <v>222</v>
      </c>
      <c r="C1142" s="4">
        <v>3</v>
      </c>
      <c r="D1142" s="8">
        <v>1.48</v>
      </c>
      <c r="E1142" s="4">
        <v>2</v>
      </c>
      <c r="F1142" s="8">
        <v>2.67</v>
      </c>
      <c r="G1142" s="4">
        <v>1</v>
      </c>
      <c r="H1142" s="8">
        <v>0.79</v>
      </c>
      <c r="I1142" s="4">
        <v>0</v>
      </c>
    </row>
    <row r="1143" spans="1:9" x14ac:dyDescent="0.2">
      <c r="A1143" s="2">
        <v>13</v>
      </c>
      <c r="B1143" s="1" t="s">
        <v>246</v>
      </c>
      <c r="C1143" s="4">
        <v>3</v>
      </c>
      <c r="D1143" s="8">
        <v>1.48</v>
      </c>
      <c r="E1143" s="4">
        <v>0</v>
      </c>
      <c r="F1143" s="8">
        <v>0</v>
      </c>
      <c r="G1143" s="4">
        <v>3</v>
      </c>
      <c r="H1143" s="8">
        <v>2.38</v>
      </c>
      <c r="I1143" s="4">
        <v>0</v>
      </c>
    </row>
    <row r="1144" spans="1:9" x14ac:dyDescent="0.2">
      <c r="A1144" s="2">
        <v>18</v>
      </c>
      <c r="B1144" s="1" t="s">
        <v>232</v>
      </c>
      <c r="C1144" s="4">
        <v>2</v>
      </c>
      <c r="D1144" s="8">
        <v>0.99</v>
      </c>
      <c r="E1144" s="4">
        <v>1</v>
      </c>
      <c r="F1144" s="8">
        <v>1.33</v>
      </c>
      <c r="G1144" s="4">
        <v>1</v>
      </c>
      <c r="H1144" s="8">
        <v>0.79</v>
      </c>
      <c r="I1144" s="4">
        <v>0</v>
      </c>
    </row>
    <row r="1145" spans="1:9" x14ac:dyDescent="0.2">
      <c r="A1145" s="2">
        <v>18</v>
      </c>
      <c r="B1145" s="1" t="s">
        <v>186</v>
      </c>
      <c r="C1145" s="4">
        <v>2</v>
      </c>
      <c r="D1145" s="8">
        <v>0.99</v>
      </c>
      <c r="E1145" s="4">
        <v>0</v>
      </c>
      <c r="F1145" s="8">
        <v>0</v>
      </c>
      <c r="G1145" s="4">
        <v>2</v>
      </c>
      <c r="H1145" s="8">
        <v>1.59</v>
      </c>
      <c r="I1145" s="4">
        <v>0</v>
      </c>
    </row>
    <row r="1146" spans="1:9" x14ac:dyDescent="0.2">
      <c r="A1146" s="2">
        <v>18</v>
      </c>
      <c r="B1146" s="1" t="s">
        <v>203</v>
      </c>
      <c r="C1146" s="4">
        <v>2</v>
      </c>
      <c r="D1146" s="8">
        <v>0.99</v>
      </c>
      <c r="E1146" s="4">
        <v>1</v>
      </c>
      <c r="F1146" s="8">
        <v>1.33</v>
      </c>
      <c r="G1146" s="4">
        <v>1</v>
      </c>
      <c r="H1146" s="8">
        <v>0.79</v>
      </c>
      <c r="I1146" s="4">
        <v>0</v>
      </c>
    </row>
    <row r="1147" spans="1:9" x14ac:dyDescent="0.2">
      <c r="A1147" s="2">
        <v>18</v>
      </c>
      <c r="B1147" s="1" t="s">
        <v>221</v>
      </c>
      <c r="C1147" s="4">
        <v>2</v>
      </c>
      <c r="D1147" s="8">
        <v>0.99</v>
      </c>
      <c r="E1147" s="4">
        <v>0</v>
      </c>
      <c r="F1147" s="8">
        <v>0</v>
      </c>
      <c r="G1147" s="4">
        <v>2</v>
      </c>
      <c r="H1147" s="8">
        <v>1.59</v>
      </c>
      <c r="I1147" s="4">
        <v>0</v>
      </c>
    </row>
    <row r="1148" spans="1:9" x14ac:dyDescent="0.2">
      <c r="A1148" s="2">
        <v>18</v>
      </c>
      <c r="B1148" s="1" t="s">
        <v>234</v>
      </c>
      <c r="C1148" s="4">
        <v>2</v>
      </c>
      <c r="D1148" s="8">
        <v>0.99</v>
      </c>
      <c r="E1148" s="4">
        <v>0</v>
      </c>
      <c r="F1148" s="8">
        <v>0</v>
      </c>
      <c r="G1148" s="4">
        <v>2</v>
      </c>
      <c r="H1148" s="8">
        <v>1.59</v>
      </c>
      <c r="I1148" s="4">
        <v>0</v>
      </c>
    </row>
    <row r="1149" spans="1:9" x14ac:dyDescent="0.2">
      <c r="A1149" s="2">
        <v>18</v>
      </c>
      <c r="B1149" s="1" t="s">
        <v>235</v>
      </c>
      <c r="C1149" s="4">
        <v>2</v>
      </c>
      <c r="D1149" s="8">
        <v>0.99</v>
      </c>
      <c r="E1149" s="4">
        <v>2</v>
      </c>
      <c r="F1149" s="8">
        <v>2.67</v>
      </c>
      <c r="G1149" s="4">
        <v>0</v>
      </c>
      <c r="H1149" s="8">
        <v>0</v>
      </c>
      <c r="I1149" s="4">
        <v>0</v>
      </c>
    </row>
    <row r="1150" spans="1:9" x14ac:dyDescent="0.2">
      <c r="A1150" s="2">
        <v>18</v>
      </c>
      <c r="B1150" s="1" t="s">
        <v>180</v>
      </c>
      <c r="C1150" s="4">
        <v>2</v>
      </c>
      <c r="D1150" s="8">
        <v>0.99</v>
      </c>
      <c r="E1150" s="4">
        <v>1</v>
      </c>
      <c r="F1150" s="8">
        <v>1.33</v>
      </c>
      <c r="G1150" s="4">
        <v>1</v>
      </c>
      <c r="H1150" s="8">
        <v>0.79</v>
      </c>
      <c r="I1150" s="4">
        <v>0</v>
      </c>
    </row>
    <row r="1151" spans="1:9" x14ac:dyDescent="0.2">
      <c r="A1151" s="2">
        <v>18</v>
      </c>
      <c r="B1151" s="1" t="s">
        <v>229</v>
      </c>
      <c r="C1151" s="4">
        <v>2</v>
      </c>
      <c r="D1151" s="8">
        <v>0.99</v>
      </c>
      <c r="E1151" s="4">
        <v>1</v>
      </c>
      <c r="F1151" s="8">
        <v>1.33</v>
      </c>
      <c r="G1151" s="4">
        <v>1</v>
      </c>
      <c r="H1151" s="8">
        <v>0.79</v>
      </c>
      <c r="I1151" s="4">
        <v>0</v>
      </c>
    </row>
    <row r="1152" spans="1:9" x14ac:dyDescent="0.2">
      <c r="A1152" s="2">
        <v>18</v>
      </c>
      <c r="B1152" s="1" t="s">
        <v>224</v>
      </c>
      <c r="C1152" s="4">
        <v>2</v>
      </c>
      <c r="D1152" s="8">
        <v>0.99</v>
      </c>
      <c r="E1152" s="4">
        <v>0</v>
      </c>
      <c r="F1152" s="8">
        <v>0</v>
      </c>
      <c r="G1152" s="4">
        <v>2</v>
      </c>
      <c r="H1152" s="8">
        <v>1.59</v>
      </c>
      <c r="I1152" s="4">
        <v>0</v>
      </c>
    </row>
    <row r="1153" spans="1:9" x14ac:dyDescent="0.2">
      <c r="A1153" s="2">
        <v>18</v>
      </c>
      <c r="B1153" s="1" t="s">
        <v>236</v>
      </c>
      <c r="C1153" s="4">
        <v>2</v>
      </c>
      <c r="D1153" s="8">
        <v>0.99</v>
      </c>
      <c r="E1153" s="4">
        <v>1</v>
      </c>
      <c r="F1153" s="8">
        <v>1.33</v>
      </c>
      <c r="G1153" s="4">
        <v>1</v>
      </c>
      <c r="H1153" s="8">
        <v>0.79</v>
      </c>
      <c r="I1153" s="4">
        <v>0</v>
      </c>
    </row>
    <row r="1154" spans="1:9" x14ac:dyDescent="0.2">
      <c r="A1154" s="2">
        <v>18</v>
      </c>
      <c r="B1154" s="1" t="s">
        <v>237</v>
      </c>
      <c r="C1154" s="4">
        <v>2</v>
      </c>
      <c r="D1154" s="8">
        <v>0.99</v>
      </c>
      <c r="E1154" s="4">
        <v>0</v>
      </c>
      <c r="F1154" s="8">
        <v>0</v>
      </c>
      <c r="G1154" s="4">
        <v>2</v>
      </c>
      <c r="H1154" s="8">
        <v>1.59</v>
      </c>
      <c r="I1154" s="4">
        <v>0</v>
      </c>
    </row>
    <row r="1155" spans="1:9" x14ac:dyDescent="0.2">
      <c r="A1155" s="2">
        <v>18</v>
      </c>
      <c r="B1155" s="1" t="s">
        <v>238</v>
      </c>
      <c r="C1155" s="4">
        <v>2</v>
      </c>
      <c r="D1155" s="8">
        <v>0.99</v>
      </c>
      <c r="E1155" s="4">
        <v>0</v>
      </c>
      <c r="F1155" s="8">
        <v>0</v>
      </c>
      <c r="G1155" s="4">
        <v>2</v>
      </c>
      <c r="H1155" s="8">
        <v>1.59</v>
      </c>
      <c r="I1155" s="4">
        <v>0</v>
      </c>
    </row>
    <row r="1156" spans="1:9" x14ac:dyDescent="0.2">
      <c r="A1156" s="2">
        <v>18</v>
      </c>
      <c r="B1156" s="1" t="s">
        <v>239</v>
      </c>
      <c r="C1156" s="4">
        <v>2</v>
      </c>
      <c r="D1156" s="8">
        <v>0.99</v>
      </c>
      <c r="E1156" s="4">
        <v>0</v>
      </c>
      <c r="F1156" s="8">
        <v>0</v>
      </c>
      <c r="G1156" s="4">
        <v>2</v>
      </c>
      <c r="H1156" s="8">
        <v>1.59</v>
      </c>
      <c r="I1156" s="4">
        <v>0</v>
      </c>
    </row>
    <row r="1157" spans="1:9" x14ac:dyDescent="0.2">
      <c r="A1157" s="2">
        <v>18</v>
      </c>
      <c r="B1157" s="1" t="s">
        <v>194</v>
      </c>
      <c r="C1157" s="4">
        <v>2</v>
      </c>
      <c r="D1157" s="8">
        <v>0.99</v>
      </c>
      <c r="E1157" s="4">
        <v>0</v>
      </c>
      <c r="F1157" s="8">
        <v>0</v>
      </c>
      <c r="G1157" s="4">
        <v>2</v>
      </c>
      <c r="H1157" s="8">
        <v>1.59</v>
      </c>
      <c r="I1157" s="4">
        <v>0</v>
      </c>
    </row>
    <row r="1158" spans="1:9" x14ac:dyDescent="0.2">
      <c r="A1158" s="2">
        <v>18</v>
      </c>
      <c r="B1158" s="1" t="s">
        <v>184</v>
      </c>
      <c r="C1158" s="4">
        <v>2</v>
      </c>
      <c r="D1158" s="8">
        <v>0.99</v>
      </c>
      <c r="E1158" s="4">
        <v>0</v>
      </c>
      <c r="F1158" s="8">
        <v>0</v>
      </c>
      <c r="G1158" s="4">
        <v>2</v>
      </c>
      <c r="H1158" s="8">
        <v>1.59</v>
      </c>
      <c r="I1158" s="4">
        <v>0</v>
      </c>
    </row>
    <row r="1159" spans="1:9" x14ac:dyDescent="0.2">
      <c r="A1159" s="2">
        <v>18</v>
      </c>
      <c r="B1159" s="1" t="s">
        <v>157</v>
      </c>
      <c r="C1159" s="4">
        <v>2</v>
      </c>
      <c r="D1159" s="8">
        <v>0.99</v>
      </c>
      <c r="E1159" s="4">
        <v>0</v>
      </c>
      <c r="F1159" s="8">
        <v>0</v>
      </c>
      <c r="G1159" s="4">
        <v>2</v>
      </c>
      <c r="H1159" s="8">
        <v>1.59</v>
      </c>
      <c r="I1159" s="4">
        <v>0</v>
      </c>
    </row>
    <row r="1160" spans="1:9" x14ac:dyDescent="0.2">
      <c r="A1160" s="2">
        <v>18</v>
      </c>
      <c r="B1160" s="1" t="s">
        <v>241</v>
      </c>
      <c r="C1160" s="4">
        <v>2</v>
      </c>
      <c r="D1160" s="8">
        <v>0.99</v>
      </c>
      <c r="E1160" s="4">
        <v>1</v>
      </c>
      <c r="F1160" s="8">
        <v>1.33</v>
      </c>
      <c r="G1160" s="4">
        <v>1</v>
      </c>
      <c r="H1160" s="8">
        <v>0.79</v>
      </c>
      <c r="I1160" s="4">
        <v>0</v>
      </c>
    </row>
    <row r="1161" spans="1:9" x14ac:dyDescent="0.2">
      <c r="A1161" s="2">
        <v>18</v>
      </c>
      <c r="B1161" s="1" t="s">
        <v>208</v>
      </c>
      <c r="C1161" s="4">
        <v>2</v>
      </c>
      <c r="D1161" s="8">
        <v>0.99</v>
      </c>
      <c r="E1161" s="4">
        <v>0</v>
      </c>
      <c r="F1161" s="8">
        <v>0</v>
      </c>
      <c r="G1161" s="4">
        <v>2</v>
      </c>
      <c r="H1161" s="8">
        <v>1.59</v>
      </c>
      <c r="I1161" s="4">
        <v>0</v>
      </c>
    </row>
    <row r="1162" spans="1:9" x14ac:dyDescent="0.2">
      <c r="A1162" s="2">
        <v>18</v>
      </c>
      <c r="B1162" s="1" t="s">
        <v>212</v>
      </c>
      <c r="C1162" s="4">
        <v>2</v>
      </c>
      <c r="D1162" s="8">
        <v>0.99</v>
      </c>
      <c r="E1162" s="4">
        <v>1</v>
      </c>
      <c r="F1162" s="8">
        <v>1.33</v>
      </c>
      <c r="G1162" s="4">
        <v>1</v>
      </c>
      <c r="H1162" s="8">
        <v>0.79</v>
      </c>
      <c r="I1162" s="4">
        <v>0</v>
      </c>
    </row>
    <row r="1163" spans="1:9" x14ac:dyDescent="0.2">
      <c r="A1163" s="2">
        <v>18</v>
      </c>
      <c r="B1163" s="1" t="s">
        <v>160</v>
      </c>
      <c r="C1163" s="4">
        <v>2</v>
      </c>
      <c r="D1163" s="8">
        <v>0.99</v>
      </c>
      <c r="E1163" s="4">
        <v>1</v>
      </c>
      <c r="F1163" s="8">
        <v>1.33</v>
      </c>
      <c r="G1163" s="4">
        <v>1</v>
      </c>
      <c r="H1163" s="8">
        <v>0.79</v>
      </c>
      <c r="I1163" s="4">
        <v>0</v>
      </c>
    </row>
    <row r="1164" spans="1:9" x14ac:dyDescent="0.2">
      <c r="A1164" s="2">
        <v>18</v>
      </c>
      <c r="B1164" s="1" t="s">
        <v>242</v>
      </c>
      <c r="C1164" s="4">
        <v>2</v>
      </c>
      <c r="D1164" s="8">
        <v>0.99</v>
      </c>
      <c r="E1164" s="4">
        <v>0</v>
      </c>
      <c r="F1164" s="8">
        <v>0</v>
      </c>
      <c r="G1164" s="4">
        <v>2</v>
      </c>
      <c r="H1164" s="8">
        <v>1.59</v>
      </c>
      <c r="I1164" s="4">
        <v>0</v>
      </c>
    </row>
    <row r="1165" spans="1:9" x14ac:dyDescent="0.2">
      <c r="A1165" s="2">
        <v>18</v>
      </c>
      <c r="B1165" s="1" t="s">
        <v>161</v>
      </c>
      <c r="C1165" s="4">
        <v>2</v>
      </c>
      <c r="D1165" s="8">
        <v>0.99</v>
      </c>
      <c r="E1165" s="4">
        <v>0</v>
      </c>
      <c r="F1165" s="8">
        <v>0</v>
      </c>
      <c r="G1165" s="4">
        <v>2</v>
      </c>
      <c r="H1165" s="8">
        <v>1.59</v>
      </c>
      <c r="I1165" s="4">
        <v>0</v>
      </c>
    </row>
    <row r="1166" spans="1:9" x14ac:dyDescent="0.2">
      <c r="A1166" s="2">
        <v>18</v>
      </c>
      <c r="B1166" s="1" t="s">
        <v>163</v>
      </c>
      <c r="C1166" s="4">
        <v>2</v>
      </c>
      <c r="D1166" s="8">
        <v>0.99</v>
      </c>
      <c r="E1166" s="4">
        <v>0</v>
      </c>
      <c r="F1166" s="8">
        <v>0</v>
      </c>
      <c r="G1166" s="4">
        <v>2</v>
      </c>
      <c r="H1166" s="8">
        <v>1.59</v>
      </c>
      <c r="I1166" s="4">
        <v>0</v>
      </c>
    </row>
    <row r="1167" spans="1:9" x14ac:dyDescent="0.2">
      <c r="A1167" s="2">
        <v>18</v>
      </c>
      <c r="B1167" s="1" t="s">
        <v>164</v>
      </c>
      <c r="C1167" s="4">
        <v>2</v>
      </c>
      <c r="D1167" s="8">
        <v>0.99</v>
      </c>
      <c r="E1167" s="4">
        <v>1</v>
      </c>
      <c r="F1167" s="8">
        <v>1.33</v>
      </c>
      <c r="G1167" s="4">
        <v>1</v>
      </c>
      <c r="H1167" s="8">
        <v>0.79</v>
      </c>
      <c r="I1167" s="4">
        <v>0</v>
      </c>
    </row>
    <row r="1168" spans="1:9" x14ac:dyDescent="0.2">
      <c r="A1168" s="2">
        <v>18</v>
      </c>
      <c r="B1168" s="1" t="s">
        <v>244</v>
      </c>
      <c r="C1168" s="4">
        <v>2</v>
      </c>
      <c r="D1168" s="8">
        <v>0.99</v>
      </c>
      <c r="E1168" s="4">
        <v>0</v>
      </c>
      <c r="F1168" s="8">
        <v>0</v>
      </c>
      <c r="G1168" s="4">
        <v>2</v>
      </c>
      <c r="H1168" s="8">
        <v>1.59</v>
      </c>
      <c r="I1168" s="4">
        <v>0</v>
      </c>
    </row>
    <row r="1169" spans="1:9" x14ac:dyDescent="0.2">
      <c r="A1169" s="2">
        <v>18</v>
      </c>
      <c r="B1169" s="1" t="s">
        <v>231</v>
      </c>
      <c r="C1169" s="4">
        <v>2</v>
      </c>
      <c r="D1169" s="8">
        <v>0.99</v>
      </c>
      <c r="E1169" s="4">
        <v>2</v>
      </c>
      <c r="F1169" s="8">
        <v>2.67</v>
      </c>
      <c r="G1169" s="4">
        <v>0</v>
      </c>
      <c r="H1169" s="8">
        <v>0</v>
      </c>
      <c r="I1169" s="4">
        <v>0</v>
      </c>
    </row>
    <row r="1170" spans="1:9" x14ac:dyDescent="0.2">
      <c r="A1170" s="2">
        <v>18</v>
      </c>
      <c r="B1170" s="1" t="s">
        <v>167</v>
      </c>
      <c r="C1170" s="4">
        <v>2</v>
      </c>
      <c r="D1170" s="8">
        <v>0.99</v>
      </c>
      <c r="E1170" s="4">
        <v>1</v>
      </c>
      <c r="F1170" s="8">
        <v>1.33</v>
      </c>
      <c r="G1170" s="4">
        <v>1</v>
      </c>
      <c r="H1170" s="8">
        <v>0.79</v>
      </c>
      <c r="I1170" s="4">
        <v>0</v>
      </c>
    </row>
    <row r="1171" spans="1:9" x14ac:dyDescent="0.2">
      <c r="A1171" s="2">
        <v>18</v>
      </c>
      <c r="B1171" s="1" t="s">
        <v>245</v>
      </c>
      <c r="C1171" s="4">
        <v>2</v>
      </c>
      <c r="D1171" s="8">
        <v>0.99</v>
      </c>
      <c r="E1171" s="4">
        <v>1</v>
      </c>
      <c r="F1171" s="8">
        <v>1.33</v>
      </c>
      <c r="G1171" s="4">
        <v>1</v>
      </c>
      <c r="H1171" s="8">
        <v>0.79</v>
      </c>
      <c r="I1171" s="4">
        <v>0</v>
      </c>
    </row>
    <row r="1172" spans="1:9" x14ac:dyDescent="0.2">
      <c r="A1172" s="2">
        <v>18</v>
      </c>
      <c r="B1172" s="1" t="s">
        <v>169</v>
      </c>
      <c r="C1172" s="4">
        <v>2</v>
      </c>
      <c r="D1172" s="8">
        <v>0.99</v>
      </c>
      <c r="E1172" s="4">
        <v>2</v>
      </c>
      <c r="F1172" s="8">
        <v>2.67</v>
      </c>
      <c r="G1172" s="4">
        <v>0</v>
      </c>
      <c r="H1172" s="8">
        <v>0</v>
      </c>
      <c r="I1172" s="4">
        <v>0</v>
      </c>
    </row>
    <row r="1173" spans="1:9" x14ac:dyDescent="0.2">
      <c r="A1173" s="2">
        <v>18</v>
      </c>
      <c r="B1173" s="1" t="s">
        <v>183</v>
      </c>
      <c r="C1173" s="4">
        <v>2</v>
      </c>
      <c r="D1173" s="8">
        <v>0.99</v>
      </c>
      <c r="E1173" s="4">
        <v>2</v>
      </c>
      <c r="F1173" s="8">
        <v>2.67</v>
      </c>
      <c r="G1173" s="4">
        <v>0</v>
      </c>
      <c r="H1173" s="8">
        <v>0</v>
      </c>
      <c r="I1173" s="4">
        <v>0</v>
      </c>
    </row>
    <row r="1174" spans="1:9" x14ac:dyDescent="0.2">
      <c r="A1174" s="2">
        <v>18</v>
      </c>
      <c r="B1174" s="1" t="s">
        <v>204</v>
      </c>
      <c r="C1174" s="4">
        <v>2</v>
      </c>
      <c r="D1174" s="8">
        <v>0.99</v>
      </c>
      <c r="E1174" s="4">
        <v>0</v>
      </c>
      <c r="F1174" s="8">
        <v>0</v>
      </c>
      <c r="G1174" s="4">
        <v>1</v>
      </c>
      <c r="H1174" s="8">
        <v>0.79</v>
      </c>
      <c r="I1174" s="4">
        <v>0</v>
      </c>
    </row>
    <row r="1175" spans="1:9" x14ac:dyDescent="0.2">
      <c r="A1175" s="2">
        <v>18</v>
      </c>
      <c r="B1175" s="1" t="s">
        <v>247</v>
      </c>
      <c r="C1175" s="4">
        <v>2</v>
      </c>
      <c r="D1175" s="8">
        <v>0.99</v>
      </c>
      <c r="E1175" s="4">
        <v>2</v>
      </c>
      <c r="F1175" s="8">
        <v>2.67</v>
      </c>
      <c r="G1175" s="4">
        <v>0</v>
      </c>
      <c r="H1175" s="8">
        <v>0</v>
      </c>
      <c r="I1175" s="4">
        <v>0</v>
      </c>
    </row>
    <row r="1176" spans="1:9" x14ac:dyDescent="0.2">
      <c r="A1176" s="2">
        <v>18</v>
      </c>
      <c r="B1176" s="1" t="s">
        <v>190</v>
      </c>
      <c r="C1176" s="4">
        <v>2</v>
      </c>
      <c r="D1176" s="8">
        <v>0.99</v>
      </c>
      <c r="E1176" s="4">
        <v>0</v>
      </c>
      <c r="F1176" s="8">
        <v>0</v>
      </c>
      <c r="G1176" s="4">
        <v>2</v>
      </c>
      <c r="H1176" s="8">
        <v>1.59</v>
      </c>
      <c r="I1176" s="4">
        <v>0</v>
      </c>
    </row>
    <row r="1177" spans="1:9" x14ac:dyDescent="0.2">
      <c r="A1177" s="1"/>
      <c r="C1177" s="4"/>
      <c r="D1177" s="8"/>
      <c r="E1177" s="4"/>
      <c r="F1177" s="8"/>
      <c r="G1177" s="4"/>
      <c r="H1177" s="8"/>
      <c r="I1177" s="4"/>
    </row>
    <row r="1178" spans="1:9" x14ac:dyDescent="0.2">
      <c r="A1178" s="1" t="s">
        <v>50</v>
      </c>
      <c r="C1178" s="4"/>
      <c r="D1178" s="8"/>
      <c r="E1178" s="4"/>
      <c r="F1178" s="8"/>
      <c r="G1178" s="4"/>
      <c r="H1178" s="8"/>
      <c r="I1178" s="4"/>
    </row>
    <row r="1179" spans="1:9" x14ac:dyDescent="0.2">
      <c r="A1179" s="2">
        <v>1</v>
      </c>
      <c r="B1179" s="1" t="s">
        <v>164</v>
      </c>
      <c r="C1179" s="4">
        <v>31</v>
      </c>
      <c r="D1179" s="8">
        <v>3.58</v>
      </c>
      <c r="E1179" s="4">
        <v>5</v>
      </c>
      <c r="F1179" s="8">
        <v>1.73</v>
      </c>
      <c r="G1179" s="4">
        <v>26</v>
      </c>
      <c r="H1179" s="8">
        <v>4.53</v>
      </c>
      <c r="I1179" s="4">
        <v>0</v>
      </c>
    </row>
    <row r="1180" spans="1:9" x14ac:dyDescent="0.2">
      <c r="A1180" s="2">
        <v>2</v>
      </c>
      <c r="B1180" s="1" t="s">
        <v>159</v>
      </c>
      <c r="C1180" s="4">
        <v>27</v>
      </c>
      <c r="D1180" s="8">
        <v>3.11</v>
      </c>
      <c r="E1180" s="4">
        <v>13</v>
      </c>
      <c r="F1180" s="8">
        <v>4.5</v>
      </c>
      <c r="G1180" s="4">
        <v>14</v>
      </c>
      <c r="H1180" s="8">
        <v>2.44</v>
      </c>
      <c r="I1180" s="4">
        <v>0</v>
      </c>
    </row>
    <row r="1181" spans="1:9" x14ac:dyDescent="0.2">
      <c r="A1181" s="2">
        <v>3</v>
      </c>
      <c r="B1181" s="1" t="s">
        <v>170</v>
      </c>
      <c r="C1181" s="4">
        <v>26</v>
      </c>
      <c r="D1181" s="8">
        <v>3</v>
      </c>
      <c r="E1181" s="4">
        <v>23</v>
      </c>
      <c r="F1181" s="8">
        <v>7.96</v>
      </c>
      <c r="G1181" s="4">
        <v>3</v>
      </c>
      <c r="H1181" s="8">
        <v>0.52</v>
      </c>
      <c r="I1181" s="4">
        <v>0</v>
      </c>
    </row>
    <row r="1182" spans="1:9" x14ac:dyDescent="0.2">
      <c r="A1182" s="2">
        <v>4</v>
      </c>
      <c r="B1182" s="1" t="s">
        <v>157</v>
      </c>
      <c r="C1182" s="4">
        <v>23</v>
      </c>
      <c r="D1182" s="8">
        <v>2.65</v>
      </c>
      <c r="E1182" s="4">
        <v>4</v>
      </c>
      <c r="F1182" s="8">
        <v>1.38</v>
      </c>
      <c r="G1182" s="4">
        <v>19</v>
      </c>
      <c r="H1182" s="8">
        <v>3.31</v>
      </c>
      <c r="I1182" s="4">
        <v>0</v>
      </c>
    </row>
    <row r="1183" spans="1:9" x14ac:dyDescent="0.2">
      <c r="A1183" s="2">
        <v>5</v>
      </c>
      <c r="B1183" s="1" t="s">
        <v>174</v>
      </c>
      <c r="C1183" s="4">
        <v>20</v>
      </c>
      <c r="D1183" s="8">
        <v>2.31</v>
      </c>
      <c r="E1183" s="4">
        <v>3</v>
      </c>
      <c r="F1183" s="8">
        <v>1.04</v>
      </c>
      <c r="G1183" s="4">
        <v>17</v>
      </c>
      <c r="H1183" s="8">
        <v>2.96</v>
      </c>
      <c r="I1183" s="4">
        <v>0</v>
      </c>
    </row>
    <row r="1184" spans="1:9" x14ac:dyDescent="0.2">
      <c r="A1184" s="2">
        <v>6</v>
      </c>
      <c r="B1184" s="1" t="s">
        <v>155</v>
      </c>
      <c r="C1184" s="4">
        <v>18</v>
      </c>
      <c r="D1184" s="8">
        <v>2.08</v>
      </c>
      <c r="E1184" s="4">
        <v>1</v>
      </c>
      <c r="F1184" s="8">
        <v>0.35</v>
      </c>
      <c r="G1184" s="4">
        <v>17</v>
      </c>
      <c r="H1184" s="8">
        <v>2.96</v>
      </c>
      <c r="I1184" s="4">
        <v>0</v>
      </c>
    </row>
    <row r="1185" spans="1:9" x14ac:dyDescent="0.2">
      <c r="A1185" s="2">
        <v>6</v>
      </c>
      <c r="B1185" s="1" t="s">
        <v>185</v>
      </c>
      <c r="C1185" s="4">
        <v>18</v>
      </c>
      <c r="D1185" s="8">
        <v>2.08</v>
      </c>
      <c r="E1185" s="4">
        <v>2</v>
      </c>
      <c r="F1185" s="8">
        <v>0.69</v>
      </c>
      <c r="G1185" s="4">
        <v>16</v>
      </c>
      <c r="H1185" s="8">
        <v>2.79</v>
      </c>
      <c r="I1185" s="4">
        <v>0</v>
      </c>
    </row>
    <row r="1186" spans="1:9" x14ac:dyDescent="0.2">
      <c r="A1186" s="2">
        <v>6</v>
      </c>
      <c r="B1186" s="1" t="s">
        <v>169</v>
      </c>
      <c r="C1186" s="4">
        <v>18</v>
      </c>
      <c r="D1186" s="8">
        <v>2.08</v>
      </c>
      <c r="E1186" s="4">
        <v>18</v>
      </c>
      <c r="F1186" s="8">
        <v>6.23</v>
      </c>
      <c r="G1186" s="4">
        <v>0</v>
      </c>
      <c r="H1186" s="8">
        <v>0</v>
      </c>
      <c r="I1186" s="4">
        <v>0</v>
      </c>
    </row>
    <row r="1187" spans="1:9" x14ac:dyDescent="0.2">
      <c r="A1187" s="2">
        <v>6</v>
      </c>
      <c r="B1187" s="1" t="s">
        <v>172</v>
      </c>
      <c r="C1187" s="4">
        <v>18</v>
      </c>
      <c r="D1187" s="8">
        <v>2.08</v>
      </c>
      <c r="E1187" s="4">
        <v>15</v>
      </c>
      <c r="F1187" s="8">
        <v>5.19</v>
      </c>
      <c r="G1187" s="4">
        <v>3</v>
      </c>
      <c r="H1187" s="8">
        <v>0.52</v>
      </c>
      <c r="I1187" s="4">
        <v>0</v>
      </c>
    </row>
    <row r="1188" spans="1:9" x14ac:dyDescent="0.2">
      <c r="A1188" s="2">
        <v>10</v>
      </c>
      <c r="B1188" s="1" t="s">
        <v>173</v>
      </c>
      <c r="C1188" s="4">
        <v>17</v>
      </c>
      <c r="D1188" s="8">
        <v>1.96</v>
      </c>
      <c r="E1188" s="4">
        <v>6</v>
      </c>
      <c r="F1188" s="8">
        <v>2.08</v>
      </c>
      <c r="G1188" s="4">
        <v>11</v>
      </c>
      <c r="H1188" s="8">
        <v>1.92</v>
      </c>
      <c r="I1188" s="4">
        <v>0</v>
      </c>
    </row>
    <row r="1189" spans="1:9" x14ac:dyDescent="0.2">
      <c r="A1189" s="2">
        <v>11</v>
      </c>
      <c r="B1189" s="1" t="s">
        <v>161</v>
      </c>
      <c r="C1189" s="4">
        <v>15</v>
      </c>
      <c r="D1189" s="8">
        <v>1.73</v>
      </c>
      <c r="E1189" s="4">
        <v>7</v>
      </c>
      <c r="F1189" s="8">
        <v>2.42</v>
      </c>
      <c r="G1189" s="4">
        <v>8</v>
      </c>
      <c r="H1189" s="8">
        <v>1.39</v>
      </c>
      <c r="I1189" s="4">
        <v>0</v>
      </c>
    </row>
    <row r="1190" spans="1:9" x14ac:dyDescent="0.2">
      <c r="A1190" s="2">
        <v>11</v>
      </c>
      <c r="B1190" s="1" t="s">
        <v>163</v>
      </c>
      <c r="C1190" s="4">
        <v>15</v>
      </c>
      <c r="D1190" s="8">
        <v>1.73</v>
      </c>
      <c r="E1190" s="4">
        <v>0</v>
      </c>
      <c r="F1190" s="8">
        <v>0</v>
      </c>
      <c r="G1190" s="4">
        <v>15</v>
      </c>
      <c r="H1190" s="8">
        <v>2.61</v>
      </c>
      <c r="I1190" s="4">
        <v>0</v>
      </c>
    </row>
    <row r="1191" spans="1:9" x14ac:dyDescent="0.2">
      <c r="A1191" s="2">
        <v>11</v>
      </c>
      <c r="B1191" s="1" t="s">
        <v>171</v>
      </c>
      <c r="C1191" s="4">
        <v>15</v>
      </c>
      <c r="D1191" s="8">
        <v>1.73</v>
      </c>
      <c r="E1191" s="4">
        <v>12</v>
      </c>
      <c r="F1191" s="8">
        <v>4.1500000000000004</v>
      </c>
      <c r="G1191" s="4">
        <v>3</v>
      </c>
      <c r="H1191" s="8">
        <v>0.52</v>
      </c>
      <c r="I1191" s="4">
        <v>0</v>
      </c>
    </row>
    <row r="1192" spans="1:9" x14ac:dyDescent="0.2">
      <c r="A1192" s="2">
        <v>14</v>
      </c>
      <c r="B1192" s="1" t="s">
        <v>154</v>
      </c>
      <c r="C1192" s="4">
        <v>14</v>
      </c>
      <c r="D1192" s="8">
        <v>1.61</v>
      </c>
      <c r="E1192" s="4">
        <v>1</v>
      </c>
      <c r="F1192" s="8">
        <v>0.35</v>
      </c>
      <c r="G1192" s="4">
        <v>13</v>
      </c>
      <c r="H1192" s="8">
        <v>2.2599999999999998</v>
      </c>
      <c r="I1192" s="4">
        <v>0</v>
      </c>
    </row>
    <row r="1193" spans="1:9" x14ac:dyDescent="0.2">
      <c r="A1193" s="2">
        <v>14</v>
      </c>
      <c r="B1193" s="1" t="s">
        <v>160</v>
      </c>
      <c r="C1193" s="4">
        <v>14</v>
      </c>
      <c r="D1193" s="8">
        <v>1.61</v>
      </c>
      <c r="E1193" s="4">
        <v>2</v>
      </c>
      <c r="F1193" s="8">
        <v>0.69</v>
      </c>
      <c r="G1193" s="4">
        <v>12</v>
      </c>
      <c r="H1193" s="8">
        <v>2.09</v>
      </c>
      <c r="I1193" s="4">
        <v>0</v>
      </c>
    </row>
    <row r="1194" spans="1:9" x14ac:dyDescent="0.2">
      <c r="A1194" s="2">
        <v>16</v>
      </c>
      <c r="B1194" s="1" t="s">
        <v>167</v>
      </c>
      <c r="C1194" s="4">
        <v>13</v>
      </c>
      <c r="D1194" s="8">
        <v>1.5</v>
      </c>
      <c r="E1194" s="4">
        <v>13</v>
      </c>
      <c r="F1194" s="8">
        <v>4.5</v>
      </c>
      <c r="G1194" s="4">
        <v>0</v>
      </c>
      <c r="H1194" s="8">
        <v>0</v>
      </c>
      <c r="I1194" s="4">
        <v>0</v>
      </c>
    </row>
    <row r="1195" spans="1:9" x14ac:dyDescent="0.2">
      <c r="A1195" s="2">
        <v>16</v>
      </c>
      <c r="B1195" s="1" t="s">
        <v>182</v>
      </c>
      <c r="C1195" s="4">
        <v>13</v>
      </c>
      <c r="D1195" s="8">
        <v>1.5</v>
      </c>
      <c r="E1195" s="4">
        <v>6</v>
      </c>
      <c r="F1195" s="8">
        <v>2.08</v>
      </c>
      <c r="G1195" s="4">
        <v>7</v>
      </c>
      <c r="H1195" s="8">
        <v>1.22</v>
      </c>
      <c r="I1195" s="4">
        <v>0</v>
      </c>
    </row>
    <row r="1196" spans="1:9" x14ac:dyDescent="0.2">
      <c r="A1196" s="2">
        <v>18</v>
      </c>
      <c r="B1196" s="1" t="s">
        <v>166</v>
      </c>
      <c r="C1196" s="4">
        <v>12</v>
      </c>
      <c r="D1196" s="8">
        <v>1.38</v>
      </c>
      <c r="E1196" s="4">
        <v>10</v>
      </c>
      <c r="F1196" s="8">
        <v>3.46</v>
      </c>
      <c r="G1196" s="4">
        <v>2</v>
      </c>
      <c r="H1196" s="8">
        <v>0.35</v>
      </c>
      <c r="I1196" s="4">
        <v>0</v>
      </c>
    </row>
    <row r="1197" spans="1:9" x14ac:dyDescent="0.2">
      <c r="A1197" s="2">
        <v>18</v>
      </c>
      <c r="B1197" s="1" t="s">
        <v>222</v>
      </c>
      <c r="C1197" s="4">
        <v>12</v>
      </c>
      <c r="D1197" s="8">
        <v>1.38</v>
      </c>
      <c r="E1197" s="4">
        <v>6</v>
      </c>
      <c r="F1197" s="8">
        <v>2.08</v>
      </c>
      <c r="G1197" s="4">
        <v>6</v>
      </c>
      <c r="H1197" s="8">
        <v>1.05</v>
      </c>
      <c r="I1197" s="4">
        <v>0</v>
      </c>
    </row>
    <row r="1198" spans="1:9" x14ac:dyDescent="0.2">
      <c r="A1198" s="2">
        <v>20</v>
      </c>
      <c r="B1198" s="1" t="s">
        <v>202</v>
      </c>
      <c r="C1198" s="4">
        <v>11</v>
      </c>
      <c r="D1198" s="8">
        <v>1.27</v>
      </c>
      <c r="E1198" s="4">
        <v>1</v>
      </c>
      <c r="F1198" s="8">
        <v>0.35</v>
      </c>
      <c r="G1198" s="4">
        <v>10</v>
      </c>
      <c r="H1198" s="8">
        <v>1.74</v>
      </c>
      <c r="I1198" s="4">
        <v>0</v>
      </c>
    </row>
    <row r="1199" spans="1:9" x14ac:dyDescent="0.2">
      <c r="A1199" s="2">
        <v>20</v>
      </c>
      <c r="B1199" s="1" t="s">
        <v>156</v>
      </c>
      <c r="C1199" s="4">
        <v>11</v>
      </c>
      <c r="D1199" s="8">
        <v>1.27</v>
      </c>
      <c r="E1199" s="4">
        <v>0</v>
      </c>
      <c r="F1199" s="8">
        <v>0</v>
      </c>
      <c r="G1199" s="4">
        <v>11</v>
      </c>
      <c r="H1199" s="8">
        <v>1.92</v>
      </c>
      <c r="I1199" s="4">
        <v>0</v>
      </c>
    </row>
    <row r="1200" spans="1:9" x14ac:dyDescent="0.2">
      <c r="A1200" s="2">
        <v>20</v>
      </c>
      <c r="B1200" s="1" t="s">
        <v>224</v>
      </c>
      <c r="C1200" s="4">
        <v>11</v>
      </c>
      <c r="D1200" s="8">
        <v>1.27</v>
      </c>
      <c r="E1200" s="4">
        <v>0</v>
      </c>
      <c r="F1200" s="8">
        <v>0</v>
      </c>
      <c r="G1200" s="4">
        <v>11</v>
      </c>
      <c r="H1200" s="8">
        <v>1.92</v>
      </c>
      <c r="I1200" s="4">
        <v>0</v>
      </c>
    </row>
    <row r="1201" spans="1:9" x14ac:dyDescent="0.2">
      <c r="A1201" s="2">
        <v>20</v>
      </c>
      <c r="B1201" s="1" t="s">
        <v>191</v>
      </c>
      <c r="C1201" s="4">
        <v>11</v>
      </c>
      <c r="D1201" s="8">
        <v>1.27</v>
      </c>
      <c r="E1201" s="4">
        <v>0</v>
      </c>
      <c r="F1201" s="8">
        <v>0</v>
      </c>
      <c r="G1201" s="4">
        <v>11</v>
      </c>
      <c r="H1201" s="8">
        <v>1.92</v>
      </c>
      <c r="I1201" s="4">
        <v>0</v>
      </c>
    </row>
    <row r="1202" spans="1:9" x14ac:dyDescent="0.2">
      <c r="A1202" s="2">
        <v>20</v>
      </c>
      <c r="B1202" s="1" t="s">
        <v>196</v>
      </c>
      <c r="C1202" s="4">
        <v>11</v>
      </c>
      <c r="D1202" s="8">
        <v>1.27</v>
      </c>
      <c r="E1202" s="4">
        <v>1</v>
      </c>
      <c r="F1202" s="8">
        <v>0.35</v>
      </c>
      <c r="G1202" s="4">
        <v>10</v>
      </c>
      <c r="H1202" s="8">
        <v>1.74</v>
      </c>
      <c r="I1202" s="4">
        <v>0</v>
      </c>
    </row>
    <row r="1203" spans="1:9" x14ac:dyDescent="0.2">
      <c r="A1203" s="2">
        <v>20</v>
      </c>
      <c r="B1203" s="1" t="s">
        <v>241</v>
      </c>
      <c r="C1203" s="4">
        <v>11</v>
      </c>
      <c r="D1203" s="8">
        <v>1.27</v>
      </c>
      <c r="E1203" s="4">
        <v>0</v>
      </c>
      <c r="F1203" s="8">
        <v>0</v>
      </c>
      <c r="G1203" s="4">
        <v>11</v>
      </c>
      <c r="H1203" s="8">
        <v>1.92</v>
      </c>
      <c r="I1203" s="4">
        <v>0</v>
      </c>
    </row>
    <row r="1204" spans="1:9" x14ac:dyDescent="0.2">
      <c r="A1204" s="2">
        <v>20</v>
      </c>
      <c r="B1204" s="1" t="s">
        <v>162</v>
      </c>
      <c r="C1204" s="4">
        <v>11</v>
      </c>
      <c r="D1204" s="8">
        <v>1.27</v>
      </c>
      <c r="E1204" s="4">
        <v>0</v>
      </c>
      <c r="F1204" s="8">
        <v>0</v>
      </c>
      <c r="G1204" s="4">
        <v>11</v>
      </c>
      <c r="H1204" s="8">
        <v>1.92</v>
      </c>
      <c r="I1204" s="4">
        <v>0</v>
      </c>
    </row>
    <row r="1205" spans="1:9" x14ac:dyDescent="0.2">
      <c r="A1205" s="1"/>
      <c r="C1205" s="4"/>
      <c r="D1205" s="8"/>
      <c r="E1205" s="4"/>
      <c r="F1205" s="8"/>
      <c r="G1205" s="4"/>
      <c r="H1205" s="8"/>
      <c r="I1205" s="4"/>
    </row>
    <row r="1206" spans="1:9" x14ac:dyDescent="0.2">
      <c r="A1206" s="1" t="s">
        <v>51</v>
      </c>
      <c r="C1206" s="4"/>
      <c r="D1206" s="8"/>
      <c r="E1206" s="4"/>
      <c r="F1206" s="8"/>
      <c r="G1206" s="4"/>
      <c r="H1206" s="8"/>
      <c r="I1206" s="4"/>
    </row>
    <row r="1207" spans="1:9" x14ac:dyDescent="0.2">
      <c r="A1207" s="2">
        <v>1</v>
      </c>
      <c r="B1207" s="1" t="s">
        <v>168</v>
      </c>
      <c r="C1207" s="4">
        <v>27</v>
      </c>
      <c r="D1207" s="8">
        <v>8.2799999999999994</v>
      </c>
      <c r="E1207" s="4">
        <v>25</v>
      </c>
      <c r="F1207" s="8">
        <v>12.2</v>
      </c>
      <c r="G1207" s="4">
        <v>2</v>
      </c>
      <c r="H1207" s="8">
        <v>1.79</v>
      </c>
      <c r="I1207" s="4">
        <v>0</v>
      </c>
    </row>
    <row r="1208" spans="1:9" x14ac:dyDescent="0.2">
      <c r="A1208" s="2">
        <v>2</v>
      </c>
      <c r="B1208" s="1" t="s">
        <v>154</v>
      </c>
      <c r="C1208" s="4">
        <v>19</v>
      </c>
      <c r="D1208" s="8">
        <v>5.83</v>
      </c>
      <c r="E1208" s="4">
        <v>5</v>
      </c>
      <c r="F1208" s="8">
        <v>2.44</v>
      </c>
      <c r="G1208" s="4">
        <v>14</v>
      </c>
      <c r="H1208" s="8">
        <v>12.5</v>
      </c>
      <c r="I1208" s="4">
        <v>0</v>
      </c>
    </row>
    <row r="1209" spans="1:9" x14ac:dyDescent="0.2">
      <c r="A1209" s="2">
        <v>3</v>
      </c>
      <c r="B1209" s="1" t="s">
        <v>170</v>
      </c>
      <c r="C1209" s="4">
        <v>16</v>
      </c>
      <c r="D1209" s="8">
        <v>4.91</v>
      </c>
      <c r="E1209" s="4">
        <v>16</v>
      </c>
      <c r="F1209" s="8">
        <v>7.8</v>
      </c>
      <c r="G1209" s="4">
        <v>0</v>
      </c>
      <c r="H1209" s="8">
        <v>0</v>
      </c>
      <c r="I1209" s="4">
        <v>0</v>
      </c>
    </row>
    <row r="1210" spans="1:9" x14ac:dyDescent="0.2">
      <c r="A1210" s="2">
        <v>4</v>
      </c>
      <c r="B1210" s="1" t="s">
        <v>169</v>
      </c>
      <c r="C1210" s="4">
        <v>15</v>
      </c>
      <c r="D1210" s="8">
        <v>4.5999999999999996</v>
      </c>
      <c r="E1210" s="4">
        <v>15</v>
      </c>
      <c r="F1210" s="8">
        <v>7.32</v>
      </c>
      <c r="G1210" s="4">
        <v>0</v>
      </c>
      <c r="H1210" s="8">
        <v>0</v>
      </c>
      <c r="I1210" s="4">
        <v>0</v>
      </c>
    </row>
    <row r="1211" spans="1:9" x14ac:dyDescent="0.2">
      <c r="A1211" s="2">
        <v>5</v>
      </c>
      <c r="B1211" s="1" t="s">
        <v>167</v>
      </c>
      <c r="C1211" s="4">
        <v>13</v>
      </c>
      <c r="D1211" s="8">
        <v>3.99</v>
      </c>
      <c r="E1211" s="4">
        <v>13</v>
      </c>
      <c r="F1211" s="8">
        <v>6.34</v>
      </c>
      <c r="G1211" s="4">
        <v>0</v>
      </c>
      <c r="H1211" s="8">
        <v>0</v>
      </c>
      <c r="I1211" s="4">
        <v>0</v>
      </c>
    </row>
    <row r="1212" spans="1:9" x14ac:dyDescent="0.2">
      <c r="A1212" s="2">
        <v>6</v>
      </c>
      <c r="B1212" s="1" t="s">
        <v>164</v>
      </c>
      <c r="C1212" s="4">
        <v>12</v>
      </c>
      <c r="D1212" s="8">
        <v>3.68</v>
      </c>
      <c r="E1212" s="4">
        <v>8</v>
      </c>
      <c r="F1212" s="8">
        <v>3.9</v>
      </c>
      <c r="G1212" s="4">
        <v>3</v>
      </c>
      <c r="H1212" s="8">
        <v>2.68</v>
      </c>
      <c r="I1212" s="4">
        <v>0</v>
      </c>
    </row>
    <row r="1213" spans="1:9" x14ac:dyDescent="0.2">
      <c r="A1213" s="2">
        <v>7</v>
      </c>
      <c r="B1213" s="1" t="s">
        <v>174</v>
      </c>
      <c r="C1213" s="4">
        <v>11</v>
      </c>
      <c r="D1213" s="8">
        <v>3.37</v>
      </c>
      <c r="E1213" s="4">
        <v>2</v>
      </c>
      <c r="F1213" s="8">
        <v>0.98</v>
      </c>
      <c r="G1213" s="4">
        <v>9</v>
      </c>
      <c r="H1213" s="8">
        <v>8.0399999999999991</v>
      </c>
      <c r="I1213" s="4">
        <v>0</v>
      </c>
    </row>
    <row r="1214" spans="1:9" x14ac:dyDescent="0.2">
      <c r="A1214" s="2">
        <v>7</v>
      </c>
      <c r="B1214" s="1" t="s">
        <v>159</v>
      </c>
      <c r="C1214" s="4">
        <v>11</v>
      </c>
      <c r="D1214" s="8">
        <v>3.37</v>
      </c>
      <c r="E1214" s="4">
        <v>8</v>
      </c>
      <c r="F1214" s="8">
        <v>3.9</v>
      </c>
      <c r="G1214" s="4">
        <v>3</v>
      </c>
      <c r="H1214" s="8">
        <v>2.68</v>
      </c>
      <c r="I1214" s="4">
        <v>0</v>
      </c>
    </row>
    <row r="1215" spans="1:9" x14ac:dyDescent="0.2">
      <c r="A1215" s="2">
        <v>9</v>
      </c>
      <c r="B1215" s="1" t="s">
        <v>160</v>
      </c>
      <c r="C1215" s="4">
        <v>9</v>
      </c>
      <c r="D1215" s="8">
        <v>2.76</v>
      </c>
      <c r="E1215" s="4">
        <v>5</v>
      </c>
      <c r="F1215" s="8">
        <v>2.44</v>
      </c>
      <c r="G1215" s="4">
        <v>4</v>
      </c>
      <c r="H1215" s="8">
        <v>3.57</v>
      </c>
      <c r="I1215" s="4">
        <v>0</v>
      </c>
    </row>
    <row r="1216" spans="1:9" x14ac:dyDescent="0.2">
      <c r="A1216" s="2">
        <v>10</v>
      </c>
      <c r="B1216" s="1" t="s">
        <v>156</v>
      </c>
      <c r="C1216" s="4">
        <v>8</v>
      </c>
      <c r="D1216" s="8">
        <v>2.4500000000000002</v>
      </c>
      <c r="E1216" s="4">
        <v>5</v>
      </c>
      <c r="F1216" s="8">
        <v>2.44</v>
      </c>
      <c r="G1216" s="4">
        <v>3</v>
      </c>
      <c r="H1216" s="8">
        <v>2.68</v>
      </c>
      <c r="I1216" s="4">
        <v>0</v>
      </c>
    </row>
    <row r="1217" spans="1:9" x14ac:dyDescent="0.2">
      <c r="A1217" s="2">
        <v>11</v>
      </c>
      <c r="B1217" s="1" t="s">
        <v>166</v>
      </c>
      <c r="C1217" s="4">
        <v>7</v>
      </c>
      <c r="D1217" s="8">
        <v>2.15</v>
      </c>
      <c r="E1217" s="4">
        <v>6</v>
      </c>
      <c r="F1217" s="8">
        <v>2.93</v>
      </c>
      <c r="G1217" s="4">
        <v>1</v>
      </c>
      <c r="H1217" s="8">
        <v>0.89</v>
      </c>
      <c r="I1217" s="4">
        <v>0</v>
      </c>
    </row>
    <row r="1218" spans="1:9" x14ac:dyDescent="0.2">
      <c r="A1218" s="2">
        <v>12</v>
      </c>
      <c r="B1218" s="1" t="s">
        <v>186</v>
      </c>
      <c r="C1218" s="4">
        <v>6</v>
      </c>
      <c r="D1218" s="8">
        <v>1.84</v>
      </c>
      <c r="E1218" s="4">
        <v>2</v>
      </c>
      <c r="F1218" s="8">
        <v>0.98</v>
      </c>
      <c r="G1218" s="4">
        <v>4</v>
      </c>
      <c r="H1218" s="8">
        <v>3.57</v>
      </c>
      <c r="I1218" s="4">
        <v>0</v>
      </c>
    </row>
    <row r="1219" spans="1:9" x14ac:dyDescent="0.2">
      <c r="A1219" s="2">
        <v>12</v>
      </c>
      <c r="B1219" s="1" t="s">
        <v>161</v>
      </c>
      <c r="C1219" s="4">
        <v>6</v>
      </c>
      <c r="D1219" s="8">
        <v>1.84</v>
      </c>
      <c r="E1219" s="4">
        <v>5</v>
      </c>
      <c r="F1219" s="8">
        <v>2.44</v>
      </c>
      <c r="G1219" s="4">
        <v>1</v>
      </c>
      <c r="H1219" s="8">
        <v>0.89</v>
      </c>
      <c r="I1219" s="4">
        <v>0</v>
      </c>
    </row>
    <row r="1220" spans="1:9" x14ac:dyDescent="0.2">
      <c r="A1220" s="2">
        <v>12</v>
      </c>
      <c r="B1220" s="1" t="s">
        <v>204</v>
      </c>
      <c r="C1220" s="4">
        <v>6</v>
      </c>
      <c r="D1220" s="8">
        <v>1.84</v>
      </c>
      <c r="E1220" s="4">
        <v>0</v>
      </c>
      <c r="F1220" s="8">
        <v>0</v>
      </c>
      <c r="G1220" s="4">
        <v>6</v>
      </c>
      <c r="H1220" s="8">
        <v>5.36</v>
      </c>
      <c r="I1220" s="4">
        <v>0</v>
      </c>
    </row>
    <row r="1221" spans="1:9" x14ac:dyDescent="0.2">
      <c r="A1221" s="2">
        <v>12</v>
      </c>
      <c r="B1221" s="1" t="s">
        <v>173</v>
      </c>
      <c r="C1221" s="4">
        <v>6</v>
      </c>
      <c r="D1221" s="8">
        <v>1.84</v>
      </c>
      <c r="E1221" s="4">
        <v>5</v>
      </c>
      <c r="F1221" s="8">
        <v>2.44</v>
      </c>
      <c r="G1221" s="4">
        <v>1</v>
      </c>
      <c r="H1221" s="8">
        <v>0.89</v>
      </c>
      <c r="I1221" s="4">
        <v>0</v>
      </c>
    </row>
    <row r="1222" spans="1:9" x14ac:dyDescent="0.2">
      <c r="A1222" s="2">
        <v>16</v>
      </c>
      <c r="B1222" s="1" t="s">
        <v>155</v>
      </c>
      <c r="C1222" s="4">
        <v>5</v>
      </c>
      <c r="D1222" s="8">
        <v>1.53</v>
      </c>
      <c r="E1222" s="4">
        <v>0</v>
      </c>
      <c r="F1222" s="8">
        <v>0</v>
      </c>
      <c r="G1222" s="4">
        <v>5</v>
      </c>
      <c r="H1222" s="8">
        <v>4.46</v>
      </c>
      <c r="I1222" s="4">
        <v>0</v>
      </c>
    </row>
    <row r="1223" spans="1:9" x14ac:dyDescent="0.2">
      <c r="A1223" s="2">
        <v>16</v>
      </c>
      <c r="B1223" s="1" t="s">
        <v>242</v>
      </c>
      <c r="C1223" s="4">
        <v>5</v>
      </c>
      <c r="D1223" s="8">
        <v>1.53</v>
      </c>
      <c r="E1223" s="4">
        <v>5</v>
      </c>
      <c r="F1223" s="8">
        <v>2.44</v>
      </c>
      <c r="G1223" s="4">
        <v>0</v>
      </c>
      <c r="H1223" s="8">
        <v>0</v>
      </c>
      <c r="I1223" s="4">
        <v>0</v>
      </c>
    </row>
    <row r="1224" spans="1:9" x14ac:dyDescent="0.2">
      <c r="A1224" s="2">
        <v>18</v>
      </c>
      <c r="B1224" s="1" t="s">
        <v>228</v>
      </c>
      <c r="C1224" s="4">
        <v>4</v>
      </c>
      <c r="D1224" s="8">
        <v>1.23</v>
      </c>
      <c r="E1224" s="4">
        <v>3</v>
      </c>
      <c r="F1224" s="8">
        <v>1.46</v>
      </c>
      <c r="G1224" s="4">
        <v>1</v>
      </c>
      <c r="H1224" s="8">
        <v>0.89</v>
      </c>
      <c r="I1224" s="4">
        <v>0</v>
      </c>
    </row>
    <row r="1225" spans="1:9" x14ac:dyDescent="0.2">
      <c r="A1225" s="2">
        <v>18</v>
      </c>
      <c r="B1225" s="1" t="s">
        <v>181</v>
      </c>
      <c r="C1225" s="4">
        <v>4</v>
      </c>
      <c r="D1225" s="8">
        <v>1.23</v>
      </c>
      <c r="E1225" s="4">
        <v>3</v>
      </c>
      <c r="F1225" s="8">
        <v>1.46</v>
      </c>
      <c r="G1225" s="4">
        <v>1</v>
      </c>
      <c r="H1225" s="8">
        <v>0.89</v>
      </c>
      <c r="I1225" s="4">
        <v>0</v>
      </c>
    </row>
    <row r="1226" spans="1:9" x14ac:dyDescent="0.2">
      <c r="A1226" s="2">
        <v>18</v>
      </c>
      <c r="B1226" s="1" t="s">
        <v>177</v>
      </c>
      <c r="C1226" s="4">
        <v>4</v>
      </c>
      <c r="D1226" s="8">
        <v>1.23</v>
      </c>
      <c r="E1226" s="4">
        <v>4</v>
      </c>
      <c r="F1226" s="8">
        <v>1.95</v>
      </c>
      <c r="G1226" s="4">
        <v>0</v>
      </c>
      <c r="H1226" s="8">
        <v>0</v>
      </c>
      <c r="I1226" s="4">
        <v>0</v>
      </c>
    </row>
    <row r="1227" spans="1:9" x14ac:dyDescent="0.2">
      <c r="A1227" s="2">
        <v>18</v>
      </c>
      <c r="B1227" s="1" t="s">
        <v>158</v>
      </c>
      <c r="C1227" s="4">
        <v>4</v>
      </c>
      <c r="D1227" s="8">
        <v>1.23</v>
      </c>
      <c r="E1227" s="4">
        <v>4</v>
      </c>
      <c r="F1227" s="8">
        <v>1.95</v>
      </c>
      <c r="G1227" s="4">
        <v>0</v>
      </c>
      <c r="H1227" s="8">
        <v>0</v>
      </c>
      <c r="I1227" s="4">
        <v>0</v>
      </c>
    </row>
    <row r="1228" spans="1:9" x14ac:dyDescent="0.2">
      <c r="A1228" s="1"/>
      <c r="C1228" s="4"/>
      <c r="D1228" s="8"/>
      <c r="E1228" s="4"/>
      <c r="F1228" s="8"/>
      <c r="G1228" s="4"/>
      <c r="H1228" s="8"/>
      <c r="I1228" s="4"/>
    </row>
    <row r="1229" spans="1:9" x14ac:dyDescent="0.2">
      <c r="A1229" s="1" t="s">
        <v>52</v>
      </c>
      <c r="C1229" s="4"/>
      <c r="D1229" s="8"/>
      <c r="E1229" s="4"/>
      <c r="F1229" s="8"/>
      <c r="G1229" s="4"/>
      <c r="H1229" s="8"/>
      <c r="I1229" s="4"/>
    </row>
    <row r="1230" spans="1:9" x14ac:dyDescent="0.2">
      <c r="A1230" s="2">
        <v>1</v>
      </c>
      <c r="B1230" s="1" t="s">
        <v>154</v>
      </c>
      <c r="C1230" s="4">
        <v>43</v>
      </c>
      <c r="D1230" s="8">
        <v>8.3800000000000008</v>
      </c>
      <c r="E1230" s="4">
        <v>6</v>
      </c>
      <c r="F1230" s="8">
        <v>2.06</v>
      </c>
      <c r="G1230" s="4">
        <v>37</v>
      </c>
      <c r="H1230" s="8">
        <v>16.97</v>
      </c>
      <c r="I1230" s="4">
        <v>0</v>
      </c>
    </row>
    <row r="1231" spans="1:9" x14ac:dyDescent="0.2">
      <c r="A1231" s="2">
        <v>2</v>
      </c>
      <c r="B1231" s="1" t="s">
        <v>170</v>
      </c>
      <c r="C1231" s="4">
        <v>33</v>
      </c>
      <c r="D1231" s="8">
        <v>6.43</v>
      </c>
      <c r="E1231" s="4">
        <v>28</v>
      </c>
      <c r="F1231" s="8">
        <v>9.6199999999999992</v>
      </c>
      <c r="G1231" s="4">
        <v>5</v>
      </c>
      <c r="H1231" s="8">
        <v>2.29</v>
      </c>
      <c r="I1231" s="4">
        <v>0</v>
      </c>
    </row>
    <row r="1232" spans="1:9" x14ac:dyDescent="0.2">
      <c r="A1232" s="2">
        <v>3</v>
      </c>
      <c r="B1232" s="1" t="s">
        <v>164</v>
      </c>
      <c r="C1232" s="4">
        <v>21</v>
      </c>
      <c r="D1232" s="8">
        <v>4.09</v>
      </c>
      <c r="E1232" s="4">
        <v>12</v>
      </c>
      <c r="F1232" s="8">
        <v>4.12</v>
      </c>
      <c r="G1232" s="4">
        <v>9</v>
      </c>
      <c r="H1232" s="8">
        <v>4.13</v>
      </c>
      <c r="I1232" s="4">
        <v>0</v>
      </c>
    </row>
    <row r="1233" spans="1:9" x14ac:dyDescent="0.2">
      <c r="A1233" s="2">
        <v>4</v>
      </c>
      <c r="B1233" s="1" t="s">
        <v>169</v>
      </c>
      <c r="C1233" s="4">
        <v>19</v>
      </c>
      <c r="D1233" s="8">
        <v>3.7</v>
      </c>
      <c r="E1233" s="4">
        <v>19</v>
      </c>
      <c r="F1233" s="8">
        <v>6.53</v>
      </c>
      <c r="G1233" s="4">
        <v>0</v>
      </c>
      <c r="H1233" s="8">
        <v>0</v>
      </c>
      <c r="I1233" s="4">
        <v>0</v>
      </c>
    </row>
    <row r="1234" spans="1:9" x14ac:dyDescent="0.2">
      <c r="A1234" s="2">
        <v>4</v>
      </c>
      <c r="B1234" s="1" t="s">
        <v>173</v>
      </c>
      <c r="C1234" s="4">
        <v>19</v>
      </c>
      <c r="D1234" s="8">
        <v>3.7</v>
      </c>
      <c r="E1234" s="4">
        <v>16</v>
      </c>
      <c r="F1234" s="8">
        <v>5.5</v>
      </c>
      <c r="G1234" s="4">
        <v>3</v>
      </c>
      <c r="H1234" s="8">
        <v>1.38</v>
      </c>
      <c r="I1234" s="4">
        <v>0</v>
      </c>
    </row>
    <row r="1235" spans="1:9" x14ac:dyDescent="0.2">
      <c r="A1235" s="2">
        <v>6</v>
      </c>
      <c r="B1235" s="1" t="s">
        <v>159</v>
      </c>
      <c r="C1235" s="4">
        <v>17</v>
      </c>
      <c r="D1235" s="8">
        <v>3.31</v>
      </c>
      <c r="E1235" s="4">
        <v>14</v>
      </c>
      <c r="F1235" s="8">
        <v>4.8099999999999996</v>
      </c>
      <c r="G1235" s="4">
        <v>3</v>
      </c>
      <c r="H1235" s="8">
        <v>1.38</v>
      </c>
      <c r="I1235" s="4">
        <v>0</v>
      </c>
    </row>
    <row r="1236" spans="1:9" x14ac:dyDescent="0.2">
      <c r="A1236" s="2">
        <v>7</v>
      </c>
      <c r="B1236" s="1" t="s">
        <v>171</v>
      </c>
      <c r="C1236" s="4">
        <v>15</v>
      </c>
      <c r="D1236" s="8">
        <v>2.92</v>
      </c>
      <c r="E1236" s="4">
        <v>14</v>
      </c>
      <c r="F1236" s="8">
        <v>4.8099999999999996</v>
      </c>
      <c r="G1236" s="4">
        <v>1</v>
      </c>
      <c r="H1236" s="8">
        <v>0.46</v>
      </c>
      <c r="I1236" s="4">
        <v>0</v>
      </c>
    </row>
    <row r="1237" spans="1:9" x14ac:dyDescent="0.2">
      <c r="A1237" s="2">
        <v>8</v>
      </c>
      <c r="B1237" s="1" t="s">
        <v>172</v>
      </c>
      <c r="C1237" s="4">
        <v>14</v>
      </c>
      <c r="D1237" s="8">
        <v>2.73</v>
      </c>
      <c r="E1237" s="4">
        <v>13</v>
      </c>
      <c r="F1237" s="8">
        <v>4.47</v>
      </c>
      <c r="G1237" s="4">
        <v>1</v>
      </c>
      <c r="H1237" s="8">
        <v>0.46</v>
      </c>
      <c r="I1237" s="4">
        <v>0</v>
      </c>
    </row>
    <row r="1238" spans="1:9" x14ac:dyDescent="0.2">
      <c r="A1238" s="2">
        <v>9</v>
      </c>
      <c r="B1238" s="1" t="s">
        <v>166</v>
      </c>
      <c r="C1238" s="4">
        <v>13</v>
      </c>
      <c r="D1238" s="8">
        <v>2.5299999999999998</v>
      </c>
      <c r="E1238" s="4">
        <v>12</v>
      </c>
      <c r="F1238" s="8">
        <v>4.12</v>
      </c>
      <c r="G1238" s="4">
        <v>1</v>
      </c>
      <c r="H1238" s="8">
        <v>0.46</v>
      </c>
      <c r="I1238" s="4">
        <v>0</v>
      </c>
    </row>
    <row r="1239" spans="1:9" x14ac:dyDescent="0.2">
      <c r="A1239" s="2">
        <v>10</v>
      </c>
      <c r="B1239" s="1" t="s">
        <v>155</v>
      </c>
      <c r="C1239" s="4">
        <v>12</v>
      </c>
      <c r="D1239" s="8">
        <v>2.34</v>
      </c>
      <c r="E1239" s="4">
        <v>2</v>
      </c>
      <c r="F1239" s="8">
        <v>0.69</v>
      </c>
      <c r="G1239" s="4">
        <v>10</v>
      </c>
      <c r="H1239" s="8">
        <v>4.59</v>
      </c>
      <c r="I1239" s="4">
        <v>0</v>
      </c>
    </row>
    <row r="1240" spans="1:9" x14ac:dyDescent="0.2">
      <c r="A1240" s="2">
        <v>10</v>
      </c>
      <c r="B1240" s="1" t="s">
        <v>156</v>
      </c>
      <c r="C1240" s="4">
        <v>12</v>
      </c>
      <c r="D1240" s="8">
        <v>2.34</v>
      </c>
      <c r="E1240" s="4">
        <v>4</v>
      </c>
      <c r="F1240" s="8">
        <v>1.37</v>
      </c>
      <c r="G1240" s="4">
        <v>8</v>
      </c>
      <c r="H1240" s="8">
        <v>3.67</v>
      </c>
      <c r="I1240" s="4">
        <v>0</v>
      </c>
    </row>
    <row r="1241" spans="1:9" x14ac:dyDescent="0.2">
      <c r="A1241" s="2">
        <v>12</v>
      </c>
      <c r="B1241" s="1" t="s">
        <v>167</v>
      </c>
      <c r="C1241" s="4">
        <v>11</v>
      </c>
      <c r="D1241" s="8">
        <v>2.14</v>
      </c>
      <c r="E1241" s="4">
        <v>11</v>
      </c>
      <c r="F1241" s="8">
        <v>3.78</v>
      </c>
      <c r="G1241" s="4">
        <v>0</v>
      </c>
      <c r="H1241" s="8">
        <v>0</v>
      </c>
      <c r="I1241" s="4">
        <v>0</v>
      </c>
    </row>
    <row r="1242" spans="1:9" x14ac:dyDescent="0.2">
      <c r="A1242" s="2">
        <v>13</v>
      </c>
      <c r="B1242" s="1" t="s">
        <v>174</v>
      </c>
      <c r="C1242" s="4">
        <v>10</v>
      </c>
      <c r="D1242" s="8">
        <v>1.95</v>
      </c>
      <c r="E1242" s="4">
        <v>1</v>
      </c>
      <c r="F1242" s="8">
        <v>0.34</v>
      </c>
      <c r="G1242" s="4">
        <v>9</v>
      </c>
      <c r="H1242" s="8">
        <v>4.13</v>
      </c>
      <c r="I1242" s="4">
        <v>0</v>
      </c>
    </row>
    <row r="1243" spans="1:9" x14ac:dyDescent="0.2">
      <c r="A1243" s="2">
        <v>13</v>
      </c>
      <c r="B1243" s="1" t="s">
        <v>161</v>
      </c>
      <c r="C1243" s="4">
        <v>10</v>
      </c>
      <c r="D1243" s="8">
        <v>1.95</v>
      </c>
      <c r="E1243" s="4">
        <v>8</v>
      </c>
      <c r="F1243" s="8">
        <v>2.75</v>
      </c>
      <c r="G1243" s="4">
        <v>2</v>
      </c>
      <c r="H1243" s="8">
        <v>0.92</v>
      </c>
      <c r="I1243" s="4">
        <v>0</v>
      </c>
    </row>
    <row r="1244" spans="1:9" x14ac:dyDescent="0.2">
      <c r="A1244" s="2">
        <v>13</v>
      </c>
      <c r="B1244" s="1" t="s">
        <v>168</v>
      </c>
      <c r="C1244" s="4">
        <v>10</v>
      </c>
      <c r="D1244" s="8">
        <v>1.95</v>
      </c>
      <c r="E1244" s="4">
        <v>10</v>
      </c>
      <c r="F1244" s="8">
        <v>3.44</v>
      </c>
      <c r="G1244" s="4">
        <v>0</v>
      </c>
      <c r="H1244" s="8">
        <v>0</v>
      </c>
      <c r="I1244" s="4">
        <v>0</v>
      </c>
    </row>
    <row r="1245" spans="1:9" x14ac:dyDescent="0.2">
      <c r="A1245" s="2">
        <v>16</v>
      </c>
      <c r="B1245" s="1" t="s">
        <v>158</v>
      </c>
      <c r="C1245" s="4">
        <v>8</v>
      </c>
      <c r="D1245" s="8">
        <v>1.56</v>
      </c>
      <c r="E1245" s="4">
        <v>7</v>
      </c>
      <c r="F1245" s="8">
        <v>2.41</v>
      </c>
      <c r="G1245" s="4">
        <v>1</v>
      </c>
      <c r="H1245" s="8">
        <v>0.46</v>
      </c>
      <c r="I1245" s="4">
        <v>0</v>
      </c>
    </row>
    <row r="1246" spans="1:9" x14ac:dyDescent="0.2">
      <c r="A1246" s="2">
        <v>17</v>
      </c>
      <c r="B1246" s="1" t="s">
        <v>186</v>
      </c>
      <c r="C1246" s="4">
        <v>7</v>
      </c>
      <c r="D1246" s="8">
        <v>1.36</v>
      </c>
      <c r="E1246" s="4">
        <v>3</v>
      </c>
      <c r="F1246" s="8">
        <v>1.03</v>
      </c>
      <c r="G1246" s="4">
        <v>4</v>
      </c>
      <c r="H1246" s="8">
        <v>1.83</v>
      </c>
      <c r="I1246" s="4">
        <v>0</v>
      </c>
    </row>
    <row r="1247" spans="1:9" x14ac:dyDescent="0.2">
      <c r="A1247" s="2">
        <v>17</v>
      </c>
      <c r="B1247" s="1" t="s">
        <v>208</v>
      </c>
      <c r="C1247" s="4">
        <v>7</v>
      </c>
      <c r="D1247" s="8">
        <v>1.36</v>
      </c>
      <c r="E1247" s="4">
        <v>5</v>
      </c>
      <c r="F1247" s="8">
        <v>1.72</v>
      </c>
      <c r="G1247" s="4">
        <v>2</v>
      </c>
      <c r="H1247" s="8">
        <v>0.92</v>
      </c>
      <c r="I1247" s="4">
        <v>0</v>
      </c>
    </row>
    <row r="1248" spans="1:9" x14ac:dyDescent="0.2">
      <c r="A1248" s="2">
        <v>19</v>
      </c>
      <c r="B1248" s="1" t="s">
        <v>181</v>
      </c>
      <c r="C1248" s="4">
        <v>6</v>
      </c>
      <c r="D1248" s="8">
        <v>1.17</v>
      </c>
      <c r="E1248" s="4">
        <v>3</v>
      </c>
      <c r="F1248" s="8">
        <v>1.03</v>
      </c>
      <c r="G1248" s="4">
        <v>3</v>
      </c>
      <c r="H1248" s="8">
        <v>1.38</v>
      </c>
      <c r="I1248" s="4">
        <v>0</v>
      </c>
    </row>
    <row r="1249" spans="1:9" x14ac:dyDescent="0.2">
      <c r="A1249" s="2">
        <v>19</v>
      </c>
      <c r="B1249" s="1" t="s">
        <v>160</v>
      </c>
      <c r="C1249" s="4">
        <v>6</v>
      </c>
      <c r="D1249" s="8">
        <v>1.17</v>
      </c>
      <c r="E1249" s="4">
        <v>2</v>
      </c>
      <c r="F1249" s="8">
        <v>0.69</v>
      </c>
      <c r="G1249" s="4">
        <v>4</v>
      </c>
      <c r="H1249" s="8">
        <v>1.83</v>
      </c>
      <c r="I1249" s="4">
        <v>0</v>
      </c>
    </row>
    <row r="1250" spans="1:9" x14ac:dyDescent="0.2">
      <c r="A1250" s="2">
        <v>19</v>
      </c>
      <c r="B1250" s="1" t="s">
        <v>220</v>
      </c>
      <c r="C1250" s="4">
        <v>6</v>
      </c>
      <c r="D1250" s="8">
        <v>1.17</v>
      </c>
      <c r="E1250" s="4">
        <v>5</v>
      </c>
      <c r="F1250" s="8">
        <v>1.72</v>
      </c>
      <c r="G1250" s="4">
        <v>1</v>
      </c>
      <c r="H1250" s="8">
        <v>0.46</v>
      </c>
      <c r="I1250" s="4">
        <v>0</v>
      </c>
    </row>
    <row r="1251" spans="1:9" x14ac:dyDescent="0.2">
      <c r="A1251" s="1"/>
      <c r="C1251" s="4"/>
      <c r="D1251" s="8"/>
      <c r="E1251" s="4"/>
      <c r="F1251" s="8"/>
      <c r="G1251" s="4"/>
      <c r="H1251" s="8"/>
      <c r="I1251" s="4"/>
    </row>
    <row r="1252" spans="1:9" x14ac:dyDescent="0.2">
      <c r="A1252" s="1" t="s">
        <v>53</v>
      </c>
      <c r="C1252" s="4"/>
      <c r="D1252" s="8"/>
      <c r="E1252" s="4"/>
      <c r="F1252" s="8"/>
      <c r="G1252" s="4"/>
      <c r="H1252" s="8"/>
      <c r="I1252" s="4"/>
    </row>
    <row r="1253" spans="1:9" x14ac:dyDescent="0.2">
      <c r="A1253" s="2">
        <v>1</v>
      </c>
      <c r="B1253" s="1" t="s">
        <v>170</v>
      </c>
      <c r="C1253" s="4">
        <v>37</v>
      </c>
      <c r="D1253" s="8">
        <v>6.99</v>
      </c>
      <c r="E1253" s="4">
        <v>34</v>
      </c>
      <c r="F1253" s="8">
        <v>12.06</v>
      </c>
      <c r="G1253" s="4">
        <v>3</v>
      </c>
      <c r="H1253" s="8">
        <v>1.22</v>
      </c>
      <c r="I1253" s="4">
        <v>0</v>
      </c>
    </row>
    <row r="1254" spans="1:9" x14ac:dyDescent="0.2">
      <c r="A1254" s="2">
        <v>2</v>
      </c>
      <c r="B1254" s="1" t="s">
        <v>169</v>
      </c>
      <c r="C1254" s="4">
        <v>19</v>
      </c>
      <c r="D1254" s="8">
        <v>3.59</v>
      </c>
      <c r="E1254" s="4">
        <v>18</v>
      </c>
      <c r="F1254" s="8">
        <v>6.38</v>
      </c>
      <c r="G1254" s="4">
        <v>1</v>
      </c>
      <c r="H1254" s="8">
        <v>0.41</v>
      </c>
      <c r="I1254" s="4">
        <v>0</v>
      </c>
    </row>
    <row r="1255" spans="1:9" x14ac:dyDescent="0.2">
      <c r="A1255" s="2">
        <v>3</v>
      </c>
      <c r="B1255" s="1" t="s">
        <v>154</v>
      </c>
      <c r="C1255" s="4">
        <v>18</v>
      </c>
      <c r="D1255" s="8">
        <v>3.4</v>
      </c>
      <c r="E1255" s="4">
        <v>2</v>
      </c>
      <c r="F1255" s="8">
        <v>0.71</v>
      </c>
      <c r="G1255" s="4">
        <v>16</v>
      </c>
      <c r="H1255" s="8">
        <v>6.53</v>
      </c>
      <c r="I1255" s="4">
        <v>0</v>
      </c>
    </row>
    <row r="1256" spans="1:9" x14ac:dyDescent="0.2">
      <c r="A1256" s="2">
        <v>4</v>
      </c>
      <c r="B1256" s="1" t="s">
        <v>171</v>
      </c>
      <c r="C1256" s="4">
        <v>16</v>
      </c>
      <c r="D1256" s="8">
        <v>3.02</v>
      </c>
      <c r="E1256" s="4">
        <v>15</v>
      </c>
      <c r="F1256" s="8">
        <v>5.32</v>
      </c>
      <c r="G1256" s="4">
        <v>1</v>
      </c>
      <c r="H1256" s="8">
        <v>0.41</v>
      </c>
      <c r="I1256" s="4">
        <v>0</v>
      </c>
    </row>
    <row r="1257" spans="1:9" x14ac:dyDescent="0.2">
      <c r="A1257" s="2">
        <v>5</v>
      </c>
      <c r="B1257" s="1" t="s">
        <v>174</v>
      </c>
      <c r="C1257" s="4">
        <v>15</v>
      </c>
      <c r="D1257" s="8">
        <v>2.84</v>
      </c>
      <c r="E1257" s="4">
        <v>5</v>
      </c>
      <c r="F1257" s="8">
        <v>1.77</v>
      </c>
      <c r="G1257" s="4">
        <v>10</v>
      </c>
      <c r="H1257" s="8">
        <v>4.08</v>
      </c>
      <c r="I1257" s="4">
        <v>0</v>
      </c>
    </row>
    <row r="1258" spans="1:9" x14ac:dyDescent="0.2">
      <c r="A1258" s="2">
        <v>6</v>
      </c>
      <c r="B1258" s="1" t="s">
        <v>156</v>
      </c>
      <c r="C1258" s="4">
        <v>14</v>
      </c>
      <c r="D1258" s="8">
        <v>2.65</v>
      </c>
      <c r="E1258" s="4">
        <v>5</v>
      </c>
      <c r="F1258" s="8">
        <v>1.77</v>
      </c>
      <c r="G1258" s="4">
        <v>9</v>
      </c>
      <c r="H1258" s="8">
        <v>3.67</v>
      </c>
      <c r="I1258" s="4">
        <v>0</v>
      </c>
    </row>
    <row r="1259" spans="1:9" x14ac:dyDescent="0.2">
      <c r="A1259" s="2">
        <v>6</v>
      </c>
      <c r="B1259" s="1" t="s">
        <v>160</v>
      </c>
      <c r="C1259" s="4">
        <v>14</v>
      </c>
      <c r="D1259" s="8">
        <v>2.65</v>
      </c>
      <c r="E1259" s="4">
        <v>7</v>
      </c>
      <c r="F1259" s="8">
        <v>2.48</v>
      </c>
      <c r="G1259" s="4">
        <v>7</v>
      </c>
      <c r="H1259" s="8">
        <v>2.86</v>
      </c>
      <c r="I1259" s="4">
        <v>0</v>
      </c>
    </row>
    <row r="1260" spans="1:9" x14ac:dyDescent="0.2">
      <c r="A1260" s="2">
        <v>8</v>
      </c>
      <c r="B1260" s="1" t="s">
        <v>187</v>
      </c>
      <c r="C1260" s="4">
        <v>11</v>
      </c>
      <c r="D1260" s="8">
        <v>2.08</v>
      </c>
      <c r="E1260" s="4">
        <v>3</v>
      </c>
      <c r="F1260" s="8">
        <v>1.06</v>
      </c>
      <c r="G1260" s="4">
        <v>8</v>
      </c>
      <c r="H1260" s="8">
        <v>3.27</v>
      </c>
      <c r="I1260" s="4">
        <v>0</v>
      </c>
    </row>
    <row r="1261" spans="1:9" x14ac:dyDescent="0.2">
      <c r="A1261" s="2">
        <v>8</v>
      </c>
      <c r="B1261" s="1" t="s">
        <v>159</v>
      </c>
      <c r="C1261" s="4">
        <v>11</v>
      </c>
      <c r="D1261" s="8">
        <v>2.08</v>
      </c>
      <c r="E1261" s="4">
        <v>7</v>
      </c>
      <c r="F1261" s="8">
        <v>2.48</v>
      </c>
      <c r="G1261" s="4">
        <v>4</v>
      </c>
      <c r="H1261" s="8">
        <v>1.63</v>
      </c>
      <c r="I1261" s="4">
        <v>0</v>
      </c>
    </row>
    <row r="1262" spans="1:9" x14ac:dyDescent="0.2">
      <c r="A1262" s="2">
        <v>8</v>
      </c>
      <c r="B1262" s="1" t="s">
        <v>167</v>
      </c>
      <c r="C1262" s="4">
        <v>11</v>
      </c>
      <c r="D1262" s="8">
        <v>2.08</v>
      </c>
      <c r="E1262" s="4">
        <v>11</v>
      </c>
      <c r="F1262" s="8">
        <v>3.9</v>
      </c>
      <c r="G1262" s="4">
        <v>0</v>
      </c>
      <c r="H1262" s="8">
        <v>0</v>
      </c>
      <c r="I1262" s="4">
        <v>0</v>
      </c>
    </row>
    <row r="1263" spans="1:9" x14ac:dyDescent="0.2">
      <c r="A1263" s="2">
        <v>8</v>
      </c>
      <c r="B1263" s="1" t="s">
        <v>173</v>
      </c>
      <c r="C1263" s="4">
        <v>11</v>
      </c>
      <c r="D1263" s="8">
        <v>2.08</v>
      </c>
      <c r="E1263" s="4">
        <v>8</v>
      </c>
      <c r="F1263" s="8">
        <v>2.84</v>
      </c>
      <c r="G1263" s="4">
        <v>3</v>
      </c>
      <c r="H1263" s="8">
        <v>1.22</v>
      </c>
      <c r="I1263" s="4">
        <v>0</v>
      </c>
    </row>
    <row r="1264" spans="1:9" x14ac:dyDescent="0.2">
      <c r="A1264" s="2">
        <v>12</v>
      </c>
      <c r="B1264" s="1" t="s">
        <v>158</v>
      </c>
      <c r="C1264" s="4">
        <v>10</v>
      </c>
      <c r="D1264" s="8">
        <v>1.89</v>
      </c>
      <c r="E1264" s="4">
        <v>8</v>
      </c>
      <c r="F1264" s="8">
        <v>2.84</v>
      </c>
      <c r="G1264" s="4">
        <v>2</v>
      </c>
      <c r="H1264" s="8">
        <v>0.82</v>
      </c>
      <c r="I1264" s="4">
        <v>0</v>
      </c>
    </row>
    <row r="1265" spans="1:9" x14ac:dyDescent="0.2">
      <c r="A1265" s="2">
        <v>13</v>
      </c>
      <c r="B1265" s="1" t="s">
        <v>155</v>
      </c>
      <c r="C1265" s="4">
        <v>9</v>
      </c>
      <c r="D1265" s="8">
        <v>1.7</v>
      </c>
      <c r="E1265" s="4">
        <v>3</v>
      </c>
      <c r="F1265" s="8">
        <v>1.06</v>
      </c>
      <c r="G1265" s="4">
        <v>6</v>
      </c>
      <c r="H1265" s="8">
        <v>2.4500000000000002</v>
      </c>
      <c r="I1265" s="4">
        <v>0</v>
      </c>
    </row>
    <row r="1266" spans="1:9" x14ac:dyDescent="0.2">
      <c r="A1266" s="2">
        <v>13</v>
      </c>
      <c r="B1266" s="1" t="s">
        <v>203</v>
      </c>
      <c r="C1266" s="4">
        <v>9</v>
      </c>
      <c r="D1266" s="8">
        <v>1.7</v>
      </c>
      <c r="E1266" s="4">
        <v>2</v>
      </c>
      <c r="F1266" s="8">
        <v>0.71</v>
      </c>
      <c r="G1266" s="4">
        <v>7</v>
      </c>
      <c r="H1266" s="8">
        <v>2.86</v>
      </c>
      <c r="I1266" s="4">
        <v>0</v>
      </c>
    </row>
    <row r="1267" spans="1:9" x14ac:dyDescent="0.2">
      <c r="A1267" s="2">
        <v>13</v>
      </c>
      <c r="B1267" s="1" t="s">
        <v>164</v>
      </c>
      <c r="C1267" s="4">
        <v>9</v>
      </c>
      <c r="D1267" s="8">
        <v>1.7</v>
      </c>
      <c r="E1267" s="4">
        <v>1</v>
      </c>
      <c r="F1267" s="8">
        <v>0.35</v>
      </c>
      <c r="G1267" s="4">
        <v>8</v>
      </c>
      <c r="H1267" s="8">
        <v>3.27</v>
      </c>
      <c r="I1267" s="4">
        <v>0</v>
      </c>
    </row>
    <row r="1268" spans="1:9" x14ac:dyDescent="0.2">
      <c r="A1268" s="2">
        <v>13</v>
      </c>
      <c r="B1268" s="1" t="s">
        <v>166</v>
      </c>
      <c r="C1268" s="4">
        <v>9</v>
      </c>
      <c r="D1268" s="8">
        <v>1.7</v>
      </c>
      <c r="E1268" s="4">
        <v>8</v>
      </c>
      <c r="F1268" s="8">
        <v>2.84</v>
      </c>
      <c r="G1268" s="4">
        <v>1</v>
      </c>
      <c r="H1268" s="8">
        <v>0.41</v>
      </c>
      <c r="I1268" s="4">
        <v>0</v>
      </c>
    </row>
    <row r="1269" spans="1:9" x14ac:dyDescent="0.2">
      <c r="A1269" s="2">
        <v>17</v>
      </c>
      <c r="B1269" s="1" t="s">
        <v>228</v>
      </c>
      <c r="C1269" s="4">
        <v>8</v>
      </c>
      <c r="D1269" s="8">
        <v>1.51</v>
      </c>
      <c r="E1269" s="4">
        <v>0</v>
      </c>
      <c r="F1269" s="8">
        <v>0</v>
      </c>
      <c r="G1269" s="4">
        <v>8</v>
      </c>
      <c r="H1269" s="8">
        <v>3.27</v>
      </c>
      <c r="I1269" s="4">
        <v>0</v>
      </c>
    </row>
    <row r="1270" spans="1:9" x14ac:dyDescent="0.2">
      <c r="A1270" s="2">
        <v>17</v>
      </c>
      <c r="B1270" s="1" t="s">
        <v>168</v>
      </c>
      <c r="C1270" s="4">
        <v>8</v>
      </c>
      <c r="D1270" s="8">
        <v>1.51</v>
      </c>
      <c r="E1270" s="4">
        <v>8</v>
      </c>
      <c r="F1270" s="8">
        <v>2.84</v>
      </c>
      <c r="G1270" s="4">
        <v>0</v>
      </c>
      <c r="H1270" s="8">
        <v>0</v>
      </c>
      <c r="I1270" s="4">
        <v>0</v>
      </c>
    </row>
    <row r="1271" spans="1:9" x14ac:dyDescent="0.2">
      <c r="A1271" s="2">
        <v>17</v>
      </c>
      <c r="B1271" s="1" t="s">
        <v>220</v>
      </c>
      <c r="C1271" s="4">
        <v>8</v>
      </c>
      <c r="D1271" s="8">
        <v>1.51</v>
      </c>
      <c r="E1271" s="4">
        <v>5</v>
      </c>
      <c r="F1271" s="8">
        <v>1.77</v>
      </c>
      <c r="G1271" s="4">
        <v>3</v>
      </c>
      <c r="H1271" s="8">
        <v>1.22</v>
      </c>
      <c r="I1271" s="4">
        <v>0</v>
      </c>
    </row>
    <row r="1272" spans="1:9" x14ac:dyDescent="0.2">
      <c r="A1272" s="2">
        <v>17</v>
      </c>
      <c r="B1272" s="1" t="s">
        <v>172</v>
      </c>
      <c r="C1272" s="4">
        <v>8</v>
      </c>
      <c r="D1272" s="8">
        <v>1.51</v>
      </c>
      <c r="E1272" s="4">
        <v>7</v>
      </c>
      <c r="F1272" s="8">
        <v>2.48</v>
      </c>
      <c r="G1272" s="4">
        <v>1</v>
      </c>
      <c r="H1272" s="8">
        <v>0.41</v>
      </c>
      <c r="I1272" s="4">
        <v>0</v>
      </c>
    </row>
    <row r="1273" spans="1:9" x14ac:dyDescent="0.2">
      <c r="A1273" s="1"/>
      <c r="C1273" s="4"/>
      <c r="D1273" s="8"/>
      <c r="E1273" s="4"/>
      <c r="F1273" s="8"/>
      <c r="G1273" s="4"/>
      <c r="H1273" s="8"/>
      <c r="I1273" s="4"/>
    </row>
    <row r="1274" spans="1:9" x14ac:dyDescent="0.2">
      <c r="A1274" s="1" t="s">
        <v>54</v>
      </c>
      <c r="C1274" s="4"/>
      <c r="D1274" s="8"/>
      <c r="E1274" s="4"/>
      <c r="F1274" s="8"/>
      <c r="G1274" s="4"/>
      <c r="H1274" s="8"/>
      <c r="I1274" s="4"/>
    </row>
    <row r="1275" spans="1:9" x14ac:dyDescent="0.2">
      <c r="A1275" s="2">
        <v>1</v>
      </c>
      <c r="B1275" s="1" t="s">
        <v>173</v>
      </c>
      <c r="C1275" s="4">
        <v>28</v>
      </c>
      <c r="D1275" s="8">
        <v>5.44</v>
      </c>
      <c r="E1275" s="4">
        <v>24</v>
      </c>
      <c r="F1275" s="8">
        <v>8.4499999999999993</v>
      </c>
      <c r="G1275" s="4">
        <v>4</v>
      </c>
      <c r="H1275" s="8">
        <v>1.75</v>
      </c>
      <c r="I1275" s="4">
        <v>0</v>
      </c>
    </row>
    <row r="1276" spans="1:9" x14ac:dyDescent="0.2">
      <c r="A1276" s="2">
        <v>2</v>
      </c>
      <c r="B1276" s="1" t="s">
        <v>154</v>
      </c>
      <c r="C1276" s="4">
        <v>25</v>
      </c>
      <c r="D1276" s="8">
        <v>4.8499999999999996</v>
      </c>
      <c r="E1276" s="4">
        <v>3</v>
      </c>
      <c r="F1276" s="8">
        <v>1.06</v>
      </c>
      <c r="G1276" s="4">
        <v>22</v>
      </c>
      <c r="H1276" s="8">
        <v>9.61</v>
      </c>
      <c r="I1276" s="4">
        <v>0</v>
      </c>
    </row>
    <row r="1277" spans="1:9" x14ac:dyDescent="0.2">
      <c r="A1277" s="2">
        <v>3</v>
      </c>
      <c r="B1277" s="1" t="s">
        <v>170</v>
      </c>
      <c r="C1277" s="4">
        <v>24</v>
      </c>
      <c r="D1277" s="8">
        <v>4.66</v>
      </c>
      <c r="E1277" s="4">
        <v>23</v>
      </c>
      <c r="F1277" s="8">
        <v>8.1</v>
      </c>
      <c r="G1277" s="4">
        <v>1</v>
      </c>
      <c r="H1277" s="8">
        <v>0.44</v>
      </c>
      <c r="I1277" s="4">
        <v>0</v>
      </c>
    </row>
    <row r="1278" spans="1:9" x14ac:dyDescent="0.2">
      <c r="A1278" s="2">
        <v>4</v>
      </c>
      <c r="B1278" s="1" t="s">
        <v>168</v>
      </c>
      <c r="C1278" s="4">
        <v>19</v>
      </c>
      <c r="D1278" s="8">
        <v>3.69</v>
      </c>
      <c r="E1278" s="4">
        <v>19</v>
      </c>
      <c r="F1278" s="8">
        <v>6.69</v>
      </c>
      <c r="G1278" s="4">
        <v>0</v>
      </c>
      <c r="H1278" s="8">
        <v>0</v>
      </c>
      <c r="I1278" s="4">
        <v>0</v>
      </c>
    </row>
    <row r="1279" spans="1:9" x14ac:dyDescent="0.2">
      <c r="A1279" s="2">
        <v>5</v>
      </c>
      <c r="B1279" s="1" t="s">
        <v>159</v>
      </c>
      <c r="C1279" s="4">
        <v>17</v>
      </c>
      <c r="D1279" s="8">
        <v>3.3</v>
      </c>
      <c r="E1279" s="4">
        <v>12</v>
      </c>
      <c r="F1279" s="8">
        <v>4.2300000000000004</v>
      </c>
      <c r="G1279" s="4">
        <v>5</v>
      </c>
      <c r="H1279" s="8">
        <v>2.1800000000000002</v>
      </c>
      <c r="I1279" s="4">
        <v>0</v>
      </c>
    </row>
    <row r="1280" spans="1:9" x14ac:dyDescent="0.2">
      <c r="A1280" s="2">
        <v>6</v>
      </c>
      <c r="B1280" s="1" t="s">
        <v>172</v>
      </c>
      <c r="C1280" s="4">
        <v>13</v>
      </c>
      <c r="D1280" s="8">
        <v>2.52</v>
      </c>
      <c r="E1280" s="4">
        <v>11</v>
      </c>
      <c r="F1280" s="8">
        <v>3.87</v>
      </c>
      <c r="G1280" s="4">
        <v>2</v>
      </c>
      <c r="H1280" s="8">
        <v>0.87</v>
      </c>
      <c r="I1280" s="4">
        <v>0</v>
      </c>
    </row>
    <row r="1281" spans="1:9" x14ac:dyDescent="0.2">
      <c r="A1281" s="2">
        <v>7</v>
      </c>
      <c r="B1281" s="1" t="s">
        <v>166</v>
      </c>
      <c r="C1281" s="4">
        <v>12</v>
      </c>
      <c r="D1281" s="8">
        <v>2.33</v>
      </c>
      <c r="E1281" s="4">
        <v>11</v>
      </c>
      <c r="F1281" s="8">
        <v>3.87</v>
      </c>
      <c r="G1281" s="4">
        <v>1</v>
      </c>
      <c r="H1281" s="8">
        <v>0.44</v>
      </c>
      <c r="I1281" s="4">
        <v>0</v>
      </c>
    </row>
    <row r="1282" spans="1:9" x14ac:dyDescent="0.2">
      <c r="A1282" s="2">
        <v>7</v>
      </c>
      <c r="B1282" s="1" t="s">
        <v>169</v>
      </c>
      <c r="C1282" s="4">
        <v>12</v>
      </c>
      <c r="D1282" s="8">
        <v>2.33</v>
      </c>
      <c r="E1282" s="4">
        <v>11</v>
      </c>
      <c r="F1282" s="8">
        <v>3.87</v>
      </c>
      <c r="G1282" s="4">
        <v>1</v>
      </c>
      <c r="H1282" s="8">
        <v>0.44</v>
      </c>
      <c r="I1282" s="4">
        <v>0</v>
      </c>
    </row>
    <row r="1283" spans="1:9" x14ac:dyDescent="0.2">
      <c r="A1283" s="2">
        <v>9</v>
      </c>
      <c r="B1283" s="1" t="s">
        <v>155</v>
      </c>
      <c r="C1283" s="4">
        <v>10</v>
      </c>
      <c r="D1283" s="8">
        <v>1.94</v>
      </c>
      <c r="E1283" s="4">
        <v>2</v>
      </c>
      <c r="F1283" s="8">
        <v>0.7</v>
      </c>
      <c r="G1283" s="4">
        <v>8</v>
      </c>
      <c r="H1283" s="8">
        <v>3.49</v>
      </c>
      <c r="I1283" s="4">
        <v>0</v>
      </c>
    </row>
    <row r="1284" spans="1:9" x14ac:dyDescent="0.2">
      <c r="A1284" s="2">
        <v>9</v>
      </c>
      <c r="B1284" s="1" t="s">
        <v>164</v>
      </c>
      <c r="C1284" s="4">
        <v>10</v>
      </c>
      <c r="D1284" s="8">
        <v>1.94</v>
      </c>
      <c r="E1284" s="4">
        <v>7</v>
      </c>
      <c r="F1284" s="8">
        <v>2.46</v>
      </c>
      <c r="G1284" s="4">
        <v>3</v>
      </c>
      <c r="H1284" s="8">
        <v>1.31</v>
      </c>
      <c r="I1284" s="4">
        <v>0</v>
      </c>
    </row>
    <row r="1285" spans="1:9" x14ac:dyDescent="0.2">
      <c r="A1285" s="2">
        <v>9</v>
      </c>
      <c r="B1285" s="1" t="s">
        <v>179</v>
      </c>
      <c r="C1285" s="4">
        <v>10</v>
      </c>
      <c r="D1285" s="8">
        <v>1.94</v>
      </c>
      <c r="E1285" s="4">
        <v>9</v>
      </c>
      <c r="F1285" s="8">
        <v>3.17</v>
      </c>
      <c r="G1285" s="4">
        <v>1</v>
      </c>
      <c r="H1285" s="8">
        <v>0.44</v>
      </c>
      <c r="I1285" s="4">
        <v>0</v>
      </c>
    </row>
    <row r="1286" spans="1:9" x14ac:dyDescent="0.2">
      <c r="A1286" s="2">
        <v>12</v>
      </c>
      <c r="B1286" s="1" t="s">
        <v>203</v>
      </c>
      <c r="C1286" s="4">
        <v>9</v>
      </c>
      <c r="D1286" s="8">
        <v>1.75</v>
      </c>
      <c r="E1286" s="4">
        <v>3</v>
      </c>
      <c r="F1286" s="8">
        <v>1.06</v>
      </c>
      <c r="G1286" s="4">
        <v>6</v>
      </c>
      <c r="H1286" s="8">
        <v>2.62</v>
      </c>
      <c r="I1286" s="4">
        <v>0</v>
      </c>
    </row>
    <row r="1287" spans="1:9" x14ac:dyDescent="0.2">
      <c r="A1287" s="2">
        <v>12</v>
      </c>
      <c r="B1287" s="1" t="s">
        <v>177</v>
      </c>
      <c r="C1287" s="4">
        <v>9</v>
      </c>
      <c r="D1287" s="8">
        <v>1.75</v>
      </c>
      <c r="E1287" s="4">
        <v>6</v>
      </c>
      <c r="F1287" s="8">
        <v>2.11</v>
      </c>
      <c r="G1287" s="4">
        <v>3</v>
      </c>
      <c r="H1287" s="8">
        <v>1.31</v>
      </c>
      <c r="I1287" s="4">
        <v>0</v>
      </c>
    </row>
    <row r="1288" spans="1:9" x14ac:dyDescent="0.2">
      <c r="A1288" s="2">
        <v>12</v>
      </c>
      <c r="B1288" s="1" t="s">
        <v>171</v>
      </c>
      <c r="C1288" s="4">
        <v>9</v>
      </c>
      <c r="D1288" s="8">
        <v>1.75</v>
      </c>
      <c r="E1288" s="4">
        <v>7</v>
      </c>
      <c r="F1288" s="8">
        <v>2.46</v>
      </c>
      <c r="G1288" s="4">
        <v>2</v>
      </c>
      <c r="H1288" s="8">
        <v>0.87</v>
      </c>
      <c r="I1288" s="4">
        <v>0</v>
      </c>
    </row>
    <row r="1289" spans="1:9" x14ac:dyDescent="0.2">
      <c r="A1289" s="2">
        <v>15</v>
      </c>
      <c r="B1289" s="1" t="s">
        <v>186</v>
      </c>
      <c r="C1289" s="4">
        <v>8</v>
      </c>
      <c r="D1289" s="8">
        <v>1.55</v>
      </c>
      <c r="E1289" s="4">
        <v>5</v>
      </c>
      <c r="F1289" s="8">
        <v>1.76</v>
      </c>
      <c r="G1289" s="4">
        <v>3</v>
      </c>
      <c r="H1289" s="8">
        <v>1.31</v>
      </c>
      <c r="I1289" s="4">
        <v>0</v>
      </c>
    </row>
    <row r="1290" spans="1:9" x14ac:dyDescent="0.2">
      <c r="A1290" s="2">
        <v>15</v>
      </c>
      <c r="B1290" s="1" t="s">
        <v>174</v>
      </c>
      <c r="C1290" s="4">
        <v>8</v>
      </c>
      <c r="D1290" s="8">
        <v>1.55</v>
      </c>
      <c r="E1290" s="4">
        <v>3</v>
      </c>
      <c r="F1290" s="8">
        <v>1.06</v>
      </c>
      <c r="G1290" s="4">
        <v>5</v>
      </c>
      <c r="H1290" s="8">
        <v>2.1800000000000002</v>
      </c>
      <c r="I1290" s="4">
        <v>0</v>
      </c>
    </row>
    <row r="1291" spans="1:9" x14ac:dyDescent="0.2">
      <c r="A1291" s="2">
        <v>15</v>
      </c>
      <c r="B1291" s="1" t="s">
        <v>160</v>
      </c>
      <c r="C1291" s="4">
        <v>8</v>
      </c>
      <c r="D1291" s="8">
        <v>1.55</v>
      </c>
      <c r="E1291" s="4">
        <v>3</v>
      </c>
      <c r="F1291" s="8">
        <v>1.06</v>
      </c>
      <c r="G1291" s="4">
        <v>5</v>
      </c>
      <c r="H1291" s="8">
        <v>2.1800000000000002</v>
      </c>
      <c r="I1291" s="4">
        <v>0</v>
      </c>
    </row>
    <row r="1292" spans="1:9" x14ac:dyDescent="0.2">
      <c r="A1292" s="2">
        <v>18</v>
      </c>
      <c r="B1292" s="1" t="s">
        <v>180</v>
      </c>
      <c r="C1292" s="4">
        <v>7</v>
      </c>
      <c r="D1292" s="8">
        <v>1.36</v>
      </c>
      <c r="E1292" s="4">
        <v>2</v>
      </c>
      <c r="F1292" s="8">
        <v>0.7</v>
      </c>
      <c r="G1292" s="4">
        <v>5</v>
      </c>
      <c r="H1292" s="8">
        <v>2.1800000000000002</v>
      </c>
      <c r="I1292" s="4">
        <v>0</v>
      </c>
    </row>
    <row r="1293" spans="1:9" x14ac:dyDescent="0.2">
      <c r="A1293" s="2">
        <v>18</v>
      </c>
      <c r="B1293" s="1" t="s">
        <v>167</v>
      </c>
      <c r="C1293" s="4">
        <v>7</v>
      </c>
      <c r="D1293" s="8">
        <v>1.36</v>
      </c>
      <c r="E1293" s="4">
        <v>7</v>
      </c>
      <c r="F1293" s="8">
        <v>2.46</v>
      </c>
      <c r="G1293" s="4">
        <v>0</v>
      </c>
      <c r="H1293" s="8">
        <v>0</v>
      </c>
      <c r="I1293" s="4">
        <v>0</v>
      </c>
    </row>
    <row r="1294" spans="1:9" x14ac:dyDescent="0.2">
      <c r="A1294" s="2">
        <v>18</v>
      </c>
      <c r="B1294" s="1" t="s">
        <v>182</v>
      </c>
      <c r="C1294" s="4">
        <v>7</v>
      </c>
      <c r="D1294" s="8">
        <v>1.36</v>
      </c>
      <c r="E1294" s="4">
        <v>4</v>
      </c>
      <c r="F1294" s="8">
        <v>1.41</v>
      </c>
      <c r="G1294" s="4">
        <v>3</v>
      </c>
      <c r="H1294" s="8">
        <v>1.31</v>
      </c>
      <c r="I1294" s="4">
        <v>0</v>
      </c>
    </row>
    <row r="1295" spans="1:9" x14ac:dyDescent="0.2">
      <c r="A1295" s="1"/>
      <c r="C1295" s="4"/>
      <c r="D1295" s="8"/>
      <c r="E1295" s="4"/>
      <c r="F1295" s="8"/>
      <c r="G1295" s="4"/>
      <c r="H1295" s="8"/>
      <c r="I1295" s="4"/>
    </row>
    <row r="1296" spans="1:9" x14ac:dyDescent="0.2">
      <c r="A1296" s="1" t="s">
        <v>55</v>
      </c>
      <c r="C1296" s="4"/>
      <c r="D1296" s="8"/>
      <c r="E1296" s="4"/>
      <c r="F1296" s="8"/>
      <c r="G1296" s="4"/>
      <c r="H1296" s="8"/>
      <c r="I1296" s="4"/>
    </row>
    <row r="1297" spans="1:9" x14ac:dyDescent="0.2">
      <c r="A1297" s="2">
        <v>1</v>
      </c>
      <c r="B1297" s="1" t="s">
        <v>154</v>
      </c>
      <c r="C1297" s="4">
        <v>15</v>
      </c>
      <c r="D1297" s="8">
        <v>11.45</v>
      </c>
      <c r="E1297" s="4">
        <v>2</v>
      </c>
      <c r="F1297" s="8">
        <v>3.13</v>
      </c>
      <c r="G1297" s="4">
        <v>13</v>
      </c>
      <c r="H1297" s="8">
        <v>19.7</v>
      </c>
      <c r="I1297" s="4">
        <v>0</v>
      </c>
    </row>
    <row r="1298" spans="1:9" x14ac:dyDescent="0.2">
      <c r="A1298" s="2">
        <v>2</v>
      </c>
      <c r="B1298" s="1" t="s">
        <v>170</v>
      </c>
      <c r="C1298" s="4">
        <v>10</v>
      </c>
      <c r="D1298" s="8">
        <v>7.63</v>
      </c>
      <c r="E1298" s="4">
        <v>10</v>
      </c>
      <c r="F1298" s="8">
        <v>15.63</v>
      </c>
      <c r="G1298" s="4">
        <v>0</v>
      </c>
      <c r="H1298" s="8">
        <v>0</v>
      </c>
      <c r="I1298" s="4">
        <v>0</v>
      </c>
    </row>
    <row r="1299" spans="1:9" x14ac:dyDescent="0.2">
      <c r="A1299" s="2">
        <v>3</v>
      </c>
      <c r="B1299" s="1" t="s">
        <v>159</v>
      </c>
      <c r="C1299" s="4">
        <v>6</v>
      </c>
      <c r="D1299" s="8">
        <v>4.58</v>
      </c>
      <c r="E1299" s="4">
        <v>6</v>
      </c>
      <c r="F1299" s="8">
        <v>9.3800000000000008</v>
      </c>
      <c r="G1299" s="4">
        <v>0</v>
      </c>
      <c r="H1299" s="8">
        <v>0</v>
      </c>
      <c r="I1299" s="4">
        <v>0</v>
      </c>
    </row>
    <row r="1300" spans="1:9" x14ac:dyDescent="0.2">
      <c r="A1300" s="2">
        <v>3</v>
      </c>
      <c r="B1300" s="1" t="s">
        <v>204</v>
      </c>
      <c r="C1300" s="4">
        <v>6</v>
      </c>
      <c r="D1300" s="8">
        <v>4.58</v>
      </c>
      <c r="E1300" s="4">
        <v>0</v>
      </c>
      <c r="F1300" s="8">
        <v>0</v>
      </c>
      <c r="G1300" s="4">
        <v>6</v>
      </c>
      <c r="H1300" s="8">
        <v>9.09</v>
      </c>
      <c r="I1300" s="4">
        <v>0</v>
      </c>
    </row>
    <row r="1301" spans="1:9" x14ac:dyDescent="0.2">
      <c r="A1301" s="2">
        <v>5</v>
      </c>
      <c r="B1301" s="1" t="s">
        <v>174</v>
      </c>
      <c r="C1301" s="4">
        <v>5</v>
      </c>
      <c r="D1301" s="8">
        <v>3.82</v>
      </c>
      <c r="E1301" s="4">
        <v>3</v>
      </c>
      <c r="F1301" s="8">
        <v>4.6900000000000004</v>
      </c>
      <c r="G1301" s="4">
        <v>2</v>
      </c>
      <c r="H1301" s="8">
        <v>3.03</v>
      </c>
      <c r="I1301" s="4">
        <v>0</v>
      </c>
    </row>
    <row r="1302" spans="1:9" x14ac:dyDescent="0.2">
      <c r="A1302" s="2">
        <v>6</v>
      </c>
      <c r="B1302" s="1" t="s">
        <v>180</v>
      </c>
      <c r="C1302" s="4">
        <v>4</v>
      </c>
      <c r="D1302" s="8">
        <v>3.05</v>
      </c>
      <c r="E1302" s="4">
        <v>2</v>
      </c>
      <c r="F1302" s="8">
        <v>3.13</v>
      </c>
      <c r="G1302" s="4">
        <v>2</v>
      </c>
      <c r="H1302" s="8">
        <v>3.03</v>
      </c>
      <c r="I1302" s="4">
        <v>0</v>
      </c>
    </row>
    <row r="1303" spans="1:9" x14ac:dyDescent="0.2">
      <c r="A1303" s="2">
        <v>6</v>
      </c>
      <c r="B1303" s="1" t="s">
        <v>169</v>
      </c>
      <c r="C1303" s="4">
        <v>4</v>
      </c>
      <c r="D1303" s="8">
        <v>3.05</v>
      </c>
      <c r="E1303" s="4">
        <v>3</v>
      </c>
      <c r="F1303" s="8">
        <v>4.6900000000000004</v>
      </c>
      <c r="G1303" s="4">
        <v>1</v>
      </c>
      <c r="H1303" s="8">
        <v>1.52</v>
      </c>
      <c r="I1303" s="4">
        <v>0</v>
      </c>
    </row>
    <row r="1304" spans="1:9" x14ac:dyDescent="0.2">
      <c r="A1304" s="2">
        <v>6</v>
      </c>
      <c r="B1304" s="1" t="s">
        <v>173</v>
      </c>
      <c r="C1304" s="4">
        <v>4</v>
      </c>
      <c r="D1304" s="8">
        <v>3.05</v>
      </c>
      <c r="E1304" s="4">
        <v>3</v>
      </c>
      <c r="F1304" s="8">
        <v>4.6900000000000004</v>
      </c>
      <c r="G1304" s="4">
        <v>1</v>
      </c>
      <c r="H1304" s="8">
        <v>1.52</v>
      </c>
      <c r="I1304" s="4">
        <v>0</v>
      </c>
    </row>
    <row r="1305" spans="1:9" x14ac:dyDescent="0.2">
      <c r="A1305" s="2">
        <v>9</v>
      </c>
      <c r="B1305" s="1" t="s">
        <v>155</v>
      </c>
      <c r="C1305" s="4">
        <v>3</v>
      </c>
      <c r="D1305" s="8">
        <v>2.29</v>
      </c>
      <c r="E1305" s="4">
        <v>2</v>
      </c>
      <c r="F1305" s="8">
        <v>3.13</v>
      </c>
      <c r="G1305" s="4">
        <v>1</v>
      </c>
      <c r="H1305" s="8">
        <v>1.52</v>
      </c>
      <c r="I1305" s="4">
        <v>0</v>
      </c>
    </row>
    <row r="1306" spans="1:9" x14ac:dyDescent="0.2">
      <c r="A1306" s="2">
        <v>9</v>
      </c>
      <c r="B1306" s="1" t="s">
        <v>158</v>
      </c>
      <c r="C1306" s="4">
        <v>3</v>
      </c>
      <c r="D1306" s="8">
        <v>2.29</v>
      </c>
      <c r="E1306" s="4">
        <v>1</v>
      </c>
      <c r="F1306" s="8">
        <v>1.56</v>
      </c>
      <c r="G1306" s="4">
        <v>1</v>
      </c>
      <c r="H1306" s="8">
        <v>1.52</v>
      </c>
      <c r="I1306" s="4">
        <v>1</v>
      </c>
    </row>
    <row r="1307" spans="1:9" x14ac:dyDescent="0.2">
      <c r="A1307" s="2">
        <v>9</v>
      </c>
      <c r="B1307" s="1" t="s">
        <v>160</v>
      </c>
      <c r="C1307" s="4">
        <v>3</v>
      </c>
      <c r="D1307" s="8">
        <v>2.29</v>
      </c>
      <c r="E1307" s="4">
        <v>1</v>
      </c>
      <c r="F1307" s="8">
        <v>1.56</v>
      </c>
      <c r="G1307" s="4">
        <v>2</v>
      </c>
      <c r="H1307" s="8">
        <v>3.03</v>
      </c>
      <c r="I1307" s="4">
        <v>0</v>
      </c>
    </row>
    <row r="1308" spans="1:9" x14ac:dyDescent="0.2">
      <c r="A1308" s="2">
        <v>12</v>
      </c>
      <c r="B1308" s="1" t="s">
        <v>202</v>
      </c>
      <c r="C1308" s="4">
        <v>2</v>
      </c>
      <c r="D1308" s="8">
        <v>1.53</v>
      </c>
      <c r="E1308" s="4">
        <v>1</v>
      </c>
      <c r="F1308" s="8">
        <v>1.56</v>
      </c>
      <c r="G1308" s="4">
        <v>1</v>
      </c>
      <c r="H1308" s="8">
        <v>1.52</v>
      </c>
      <c r="I1308" s="4">
        <v>0</v>
      </c>
    </row>
    <row r="1309" spans="1:9" x14ac:dyDescent="0.2">
      <c r="A1309" s="2">
        <v>12</v>
      </c>
      <c r="B1309" s="1" t="s">
        <v>156</v>
      </c>
      <c r="C1309" s="4">
        <v>2</v>
      </c>
      <c r="D1309" s="8">
        <v>1.53</v>
      </c>
      <c r="E1309" s="4">
        <v>1</v>
      </c>
      <c r="F1309" s="8">
        <v>1.56</v>
      </c>
      <c r="G1309" s="4">
        <v>1</v>
      </c>
      <c r="H1309" s="8">
        <v>1.52</v>
      </c>
      <c r="I1309" s="4">
        <v>0</v>
      </c>
    </row>
    <row r="1310" spans="1:9" x14ac:dyDescent="0.2">
      <c r="A1310" s="2">
        <v>12</v>
      </c>
      <c r="B1310" s="1" t="s">
        <v>248</v>
      </c>
      <c r="C1310" s="4">
        <v>2</v>
      </c>
      <c r="D1310" s="8">
        <v>1.53</v>
      </c>
      <c r="E1310" s="4">
        <v>1</v>
      </c>
      <c r="F1310" s="8">
        <v>1.56</v>
      </c>
      <c r="G1310" s="4">
        <v>1</v>
      </c>
      <c r="H1310" s="8">
        <v>1.52</v>
      </c>
      <c r="I1310" s="4">
        <v>0</v>
      </c>
    </row>
    <row r="1311" spans="1:9" x14ac:dyDescent="0.2">
      <c r="A1311" s="2">
        <v>12</v>
      </c>
      <c r="B1311" s="1" t="s">
        <v>249</v>
      </c>
      <c r="C1311" s="4">
        <v>2</v>
      </c>
      <c r="D1311" s="8">
        <v>1.53</v>
      </c>
      <c r="E1311" s="4">
        <v>0</v>
      </c>
      <c r="F1311" s="8">
        <v>0</v>
      </c>
      <c r="G1311" s="4">
        <v>2</v>
      </c>
      <c r="H1311" s="8">
        <v>3.03</v>
      </c>
      <c r="I1311" s="4">
        <v>0</v>
      </c>
    </row>
    <row r="1312" spans="1:9" x14ac:dyDescent="0.2">
      <c r="A1312" s="2">
        <v>12</v>
      </c>
      <c r="B1312" s="1" t="s">
        <v>250</v>
      </c>
      <c r="C1312" s="4">
        <v>2</v>
      </c>
      <c r="D1312" s="8">
        <v>1.53</v>
      </c>
      <c r="E1312" s="4">
        <v>0</v>
      </c>
      <c r="F1312" s="8">
        <v>0</v>
      </c>
      <c r="G1312" s="4">
        <v>2</v>
      </c>
      <c r="H1312" s="8">
        <v>3.03</v>
      </c>
      <c r="I1312" s="4">
        <v>0</v>
      </c>
    </row>
    <row r="1313" spans="1:9" x14ac:dyDescent="0.2">
      <c r="A1313" s="2">
        <v>12</v>
      </c>
      <c r="B1313" s="1" t="s">
        <v>206</v>
      </c>
      <c r="C1313" s="4">
        <v>2</v>
      </c>
      <c r="D1313" s="8">
        <v>1.53</v>
      </c>
      <c r="E1313" s="4">
        <v>1</v>
      </c>
      <c r="F1313" s="8">
        <v>1.56</v>
      </c>
      <c r="G1313" s="4">
        <v>1</v>
      </c>
      <c r="H1313" s="8">
        <v>1.52</v>
      </c>
      <c r="I1313" s="4">
        <v>0</v>
      </c>
    </row>
    <row r="1314" spans="1:9" x14ac:dyDescent="0.2">
      <c r="A1314" s="2">
        <v>12</v>
      </c>
      <c r="B1314" s="1" t="s">
        <v>224</v>
      </c>
      <c r="C1314" s="4">
        <v>2</v>
      </c>
      <c r="D1314" s="8">
        <v>1.53</v>
      </c>
      <c r="E1314" s="4">
        <v>1</v>
      </c>
      <c r="F1314" s="8">
        <v>1.56</v>
      </c>
      <c r="G1314" s="4">
        <v>1</v>
      </c>
      <c r="H1314" s="8">
        <v>1.52</v>
      </c>
      <c r="I1314" s="4">
        <v>0</v>
      </c>
    </row>
    <row r="1315" spans="1:9" x14ac:dyDescent="0.2">
      <c r="A1315" s="2">
        <v>12</v>
      </c>
      <c r="B1315" s="1" t="s">
        <v>251</v>
      </c>
      <c r="C1315" s="4">
        <v>2</v>
      </c>
      <c r="D1315" s="8">
        <v>1.53</v>
      </c>
      <c r="E1315" s="4">
        <v>0</v>
      </c>
      <c r="F1315" s="8">
        <v>0</v>
      </c>
      <c r="G1315" s="4">
        <v>2</v>
      </c>
      <c r="H1315" s="8">
        <v>3.03</v>
      </c>
      <c r="I1315" s="4">
        <v>0</v>
      </c>
    </row>
    <row r="1316" spans="1:9" x14ac:dyDescent="0.2">
      <c r="A1316" s="2">
        <v>12</v>
      </c>
      <c r="B1316" s="1" t="s">
        <v>240</v>
      </c>
      <c r="C1316" s="4">
        <v>2</v>
      </c>
      <c r="D1316" s="8">
        <v>1.53</v>
      </c>
      <c r="E1316" s="4">
        <v>1</v>
      </c>
      <c r="F1316" s="8">
        <v>1.56</v>
      </c>
      <c r="G1316" s="4">
        <v>1</v>
      </c>
      <c r="H1316" s="8">
        <v>1.52</v>
      </c>
      <c r="I1316" s="4">
        <v>0</v>
      </c>
    </row>
    <row r="1317" spans="1:9" x14ac:dyDescent="0.2">
      <c r="A1317" s="2">
        <v>12</v>
      </c>
      <c r="B1317" s="1" t="s">
        <v>157</v>
      </c>
      <c r="C1317" s="4">
        <v>2</v>
      </c>
      <c r="D1317" s="8">
        <v>1.53</v>
      </c>
      <c r="E1317" s="4">
        <v>1</v>
      </c>
      <c r="F1317" s="8">
        <v>1.56</v>
      </c>
      <c r="G1317" s="4">
        <v>1</v>
      </c>
      <c r="H1317" s="8">
        <v>1.52</v>
      </c>
      <c r="I1317" s="4">
        <v>0</v>
      </c>
    </row>
    <row r="1318" spans="1:9" x14ac:dyDescent="0.2">
      <c r="A1318" s="2">
        <v>12</v>
      </c>
      <c r="B1318" s="1" t="s">
        <v>181</v>
      </c>
      <c r="C1318" s="4">
        <v>2</v>
      </c>
      <c r="D1318" s="8">
        <v>1.53</v>
      </c>
      <c r="E1318" s="4">
        <v>2</v>
      </c>
      <c r="F1318" s="8">
        <v>3.13</v>
      </c>
      <c r="G1318" s="4">
        <v>0</v>
      </c>
      <c r="H1318" s="8">
        <v>0</v>
      </c>
      <c r="I1318" s="4">
        <v>0</v>
      </c>
    </row>
    <row r="1319" spans="1:9" x14ac:dyDescent="0.2">
      <c r="A1319" s="2">
        <v>12</v>
      </c>
      <c r="B1319" s="1" t="s">
        <v>177</v>
      </c>
      <c r="C1319" s="4">
        <v>2</v>
      </c>
      <c r="D1319" s="8">
        <v>1.53</v>
      </c>
      <c r="E1319" s="4">
        <v>2</v>
      </c>
      <c r="F1319" s="8">
        <v>3.13</v>
      </c>
      <c r="G1319" s="4">
        <v>0</v>
      </c>
      <c r="H1319" s="8">
        <v>0</v>
      </c>
      <c r="I1319" s="4">
        <v>0</v>
      </c>
    </row>
    <row r="1320" spans="1:9" x14ac:dyDescent="0.2">
      <c r="A1320" s="2">
        <v>12</v>
      </c>
      <c r="B1320" s="1" t="s">
        <v>161</v>
      </c>
      <c r="C1320" s="4">
        <v>2</v>
      </c>
      <c r="D1320" s="8">
        <v>1.53</v>
      </c>
      <c r="E1320" s="4">
        <v>2</v>
      </c>
      <c r="F1320" s="8">
        <v>3.13</v>
      </c>
      <c r="G1320" s="4">
        <v>0</v>
      </c>
      <c r="H1320" s="8">
        <v>0</v>
      </c>
      <c r="I1320" s="4">
        <v>0</v>
      </c>
    </row>
    <row r="1321" spans="1:9" x14ac:dyDescent="0.2">
      <c r="A1321" s="2">
        <v>12</v>
      </c>
      <c r="B1321" s="1" t="s">
        <v>165</v>
      </c>
      <c r="C1321" s="4">
        <v>2</v>
      </c>
      <c r="D1321" s="8">
        <v>1.53</v>
      </c>
      <c r="E1321" s="4">
        <v>1</v>
      </c>
      <c r="F1321" s="8">
        <v>1.56</v>
      </c>
      <c r="G1321" s="4">
        <v>1</v>
      </c>
      <c r="H1321" s="8">
        <v>1.52</v>
      </c>
      <c r="I1321" s="4">
        <v>0</v>
      </c>
    </row>
    <row r="1322" spans="1:9" x14ac:dyDescent="0.2">
      <c r="A1322" s="2">
        <v>12</v>
      </c>
      <c r="B1322" s="1" t="s">
        <v>252</v>
      </c>
      <c r="C1322" s="4">
        <v>2</v>
      </c>
      <c r="D1322" s="8">
        <v>1.53</v>
      </c>
      <c r="E1322" s="4">
        <v>0</v>
      </c>
      <c r="F1322" s="8">
        <v>0</v>
      </c>
      <c r="G1322" s="4">
        <v>2</v>
      </c>
      <c r="H1322" s="8">
        <v>3.03</v>
      </c>
      <c r="I1322" s="4">
        <v>0</v>
      </c>
    </row>
    <row r="1323" spans="1:9" x14ac:dyDescent="0.2">
      <c r="A1323" s="1"/>
      <c r="C1323" s="4"/>
      <c r="D1323" s="8"/>
      <c r="E1323" s="4"/>
      <c r="F1323" s="8"/>
      <c r="G1323" s="4"/>
      <c r="H1323" s="8"/>
      <c r="I1323" s="4"/>
    </row>
    <row r="1324" spans="1:9" x14ac:dyDescent="0.2">
      <c r="A1324" s="1" t="s">
        <v>56</v>
      </c>
      <c r="C1324" s="4"/>
      <c r="D1324" s="8"/>
      <c r="E1324" s="4"/>
      <c r="F1324" s="8"/>
      <c r="G1324" s="4"/>
      <c r="H1324" s="8"/>
      <c r="I1324" s="4"/>
    </row>
    <row r="1325" spans="1:9" x14ac:dyDescent="0.2">
      <c r="A1325" s="2">
        <v>1</v>
      </c>
      <c r="B1325" s="1" t="s">
        <v>154</v>
      </c>
      <c r="C1325" s="4">
        <v>34</v>
      </c>
      <c r="D1325" s="8">
        <v>10</v>
      </c>
      <c r="E1325" s="4">
        <v>9</v>
      </c>
      <c r="F1325" s="8">
        <v>5.36</v>
      </c>
      <c r="G1325" s="4">
        <v>25</v>
      </c>
      <c r="H1325" s="8">
        <v>14.71</v>
      </c>
      <c r="I1325" s="4">
        <v>0</v>
      </c>
    </row>
    <row r="1326" spans="1:9" x14ac:dyDescent="0.2">
      <c r="A1326" s="2">
        <v>2</v>
      </c>
      <c r="B1326" s="1" t="s">
        <v>173</v>
      </c>
      <c r="C1326" s="4">
        <v>15</v>
      </c>
      <c r="D1326" s="8">
        <v>4.41</v>
      </c>
      <c r="E1326" s="4">
        <v>15</v>
      </c>
      <c r="F1326" s="8">
        <v>8.93</v>
      </c>
      <c r="G1326" s="4">
        <v>0</v>
      </c>
      <c r="H1326" s="8">
        <v>0</v>
      </c>
      <c r="I1326" s="4">
        <v>0</v>
      </c>
    </row>
    <row r="1327" spans="1:9" x14ac:dyDescent="0.2">
      <c r="A1327" s="2">
        <v>3</v>
      </c>
      <c r="B1327" s="1" t="s">
        <v>170</v>
      </c>
      <c r="C1327" s="4">
        <v>14</v>
      </c>
      <c r="D1327" s="8">
        <v>4.12</v>
      </c>
      <c r="E1327" s="4">
        <v>13</v>
      </c>
      <c r="F1327" s="8">
        <v>7.74</v>
      </c>
      <c r="G1327" s="4">
        <v>1</v>
      </c>
      <c r="H1327" s="8">
        <v>0.59</v>
      </c>
      <c r="I1327" s="4">
        <v>0</v>
      </c>
    </row>
    <row r="1328" spans="1:9" x14ac:dyDescent="0.2">
      <c r="A1328" s="2">
        <v>4</v>
      </c>
      <c r="B1328" s="1" t="s">
        <v>177</v>
      </c>
      <c r="C1328" s="4">
        <v>9</v>
      </c>
      <c r="D1328" s="8">
        <v>2.65</v>
      </c>
      <c r="E1328" s="4">
        <v>8</v>
      </c>
      <c r="F1328" s="8">
        <v>4.76</v>
      </c>
      <c r="G1328" s="4">
        <v>1</v>
      </c>
      <c r="H1328" s="8">
        <v>0.59</v>
      </c>
      <c r="I1328" s="4">
        <v>0</v>
      </c>
    </row>
    <row r="1329" spans="1:9" x14ac:dyDescent="0.2">
      <c r="A1329" s="2">
        <v>4</v>
      </c>
      <c r="B1329" s="1" t="s">
        <v>159</v>
      </c>
      <c r="C1329" s="4">
        <v>9</v>
      </c>
      <c r="D1329" s="8">
        <v>2.65</v>
      </c>
      <c r="E1329" s="4">
        <v>8</v>
      </c>
      <c r="F1329" s="8">
        <v>4.76</v>
      </c>
      <c r="G1329" s="4">
        <v>1</v>
      </c>
      <c r="H1329" s="8">
        <v>0.59</v>
      </c>
      <c r="I1329" s="4">
        <v>0</v>
      </c>
    </row>
    <row r="1330" spans="1:9" x14ac:dyDescent="0.2">
      <c r="A1330" s="2">
        <v>4</v>
      </c>
      <c r="B1330" s="1" t="s">
        <v>169</v>
      </c>
      <c r="C1330" s="4">
        <v>9</v>
      </c>
      <c r="D1330" s="8">
        <v>2.65</v>
      </c>
      <c r="E1330" s="4">
        <v>9</v>
      </c>
      <c r="F1330" s="8">
        <v>5.36</v>
      </c>
      <c r="G1330" s="4">
        <v>0</v>
      </c>
      <c r="H1330" s="8">
        <v>0</v>
      </c>
      <c r="I1330" s="4">
        <v>0</v>
      </c>
    </row>
    <row r="1331" spans="1:9" x14ac:dyDescent="0.2">
      <c r="A1331" s="2">
        <v>7</v>
      </c>
      <c r="B1331" s="1" t="s">
        <v>155</v>
      </c>
      <c r="C1331" s="4">
        <v>7</v>
      </c>
      <c r="D1331" s="8">
        <v>2.06</v>
      </c>
      <c r="E1331" s="4">
        <v>3</v>
      </c>
      <c r="F1331" s="8">
        <v>1.79</v>
      </c>
      <c r="G1331" s="4">
        <v>4</v>
      </c>
      <c r="H1331" s="8">
        <v>2.35</v>
      </c>
      <c r="I1331" s="4">
        <v>0</v>
      </c>
    </row>
    <row r="1332" spans="1:9" x14ac:dyDescent="0.2">
      <c r="A1332" s="2">
        <v>8</v>
      </c>
      <c r="B1332" s="1" t="s">
        <v>203</v>
      </c>
      <c r="C1332" s="4">
        <v>6</v>
      </c>
      <c r="D1332" s="8">
        <v>1.76</v>
      </c>
      <c r="E1332" s="4">
        <v>1</v>
      </c>
      <c r="F1332" s="8">
        <v>0.6</v>
      </c>
      <c r="G1332" s="4">
        <v>5</v>
      </c>
      <c r="H1332" s="8">
        <v>2.94</v>
      </c>
      <c r="I1332" s="4">
        <v>0</v>
      </c>
    </row>
    <row r="1333" spans="1:9" x14ac:dyDescent="0.2">
      <c r="A1333" s="2">
        <v>8</v>
      </c>
      <c r="B1333" s="1" t="s">
        <v>207</v>
      </c>
      <c r="C1333" s="4">
        <v>6</v>
      </c>
      <c r="D1333" s="8">
        <v>1.76</v>
      </c>
      <c r="E1333" s="4">
        <v>2</v>
      </c>
      <c r="F1333" s="8">
        <v>1.19</v>
      </c>
      <c r="G1333" s="4">
        <v>4</v>
      </c>
      <c r="H1333" s="8">
        <v>2.35</v>
      </c>
      <c r="I1333" s="4">
        <v>0</v>
      </c>
    </row>
    <row r="1334" spans="1:9" x14ac:dyDescent="0.2">
      <c r="A1334" s="2">
        <v>8</v>
      </c>
      <c r="B1334" s="1" t="s">
        <v>167</v>
      </c>
      <c r="C1334" s="4">
        <v>6</v>
      </c>
      <c r="D1334" s="8">
        <v>1.76</v>
      </c>
      <c r="E1334" s="4">
        <v>6</v>
      </c>
      <c r="F1334" s="8">
        <v>3.57</v>
      </c>
      <c r="G1334" s="4">
        <v>0</v>
      </c>
      <c r="H1334" s="8">
        <v>0</v>
      </c>
      <c r="I1334" s="4">
        <v>0</v>
      </c>
    </row>
    <row r="1335" spans="1:9" x14ac:dyDescent="0.2">
      <c r="A1335" s="2">
        <v>11</v>
      </c>
      <c r="B1335" s="1" t="s">
        <v>187</v>
      </c>
      <c r="C1335" s="4">
        <v>5</v>
      </c>
      <c r="D1335" s="8">
        <v>1.47</v>
      </c>
      <c r="E1335" s="4">
        <v>2</v>
      </c>
      <c r="F1335" s="8">
        <v>1.19</v>
      </c>
      <c r="G1335" s="4">
        <v>3</v>
      </c>
      <c r="H1335" s="8">
        <v>1.76</v>
      </c>
      <c r="I1335" s="4">
        <v>0</v>
      </c>
    </row>
    <row r="1336" spans="1:9" x14ac:dyDescent="0.2">
      <c r="A1336" s="2">
        <v>11</v>
      </c>
      <c r="B1336" s="1" t="s">
        <v>174</v>
      </c>
      <c r="C1336" s="4">
        <v>5</v>
      </c>
      <c r="D1336" s="8">
        <v>1.47</v>
      </c>
      <c r="E1336" s="4">
        <v>1</v>
      </c>
      <c r="F1336" s="8">
        <v>0.6</v>
      </c>
      <c r="G1336" s="4">
        <v>4</v>
      </c>
      <c r="H1336" s="8">
        <v>2.35</v>
      </c>
      <c r="I1336" s="4">
        <v>0</v>
      </c>
    </row>
    <row r="1337" spans="1:9" x14ac:dyDescent="0.2">
      <c r="A1337" s="2">
        <v>11</v>
      </c>
      <c r="B1337" s="1" t="s">
        <v>180</v>
      </c>
      <c r="C1337" s="4">
        <v>5</v>
      </c>
      <c r="D1337" s="8">
        <v>1.47</v>
      </c>
      <c r="E1337" s="4">
        <v>2</v>
      </c>
      <c r="F1337" s="8">
        <v>1.19</v>
      </c>
      <c r="G1337" s="4">
        <v>3</v>
      </c>
      <c r="H1337" s="8">
        <v>1.76</v>
      </c>
      <c r="I1337" s="4">
        <v>0</v>
      </c>
    </row>
    <row r="1338" spans="1:9" x14ac:dyDescent="0.2">
      <c r="A1338" s="2">
        <v>11</v>
      </c>
      <c r="B1338" s="1" t="s">
        <v>253</v>
      </c>
      <c r="C1338" s="4">
        <v>5</v>
      </c>
      <c r="D1338" s="8">
        <v>1.47</v>
      </c>
      <c r="E1338" s="4">
        <v>1</v>
      </c>
      <c r="F1338" s="8">
        <v>0.6</v>
      </c>
      <c r="G1338" s="4">
        <v>4</v>
      </c>
      <c r="H1338" s="8">
        <v>2.35</v>
      </c>
      <c r="I1338" s="4">
        <v>0</v>
      </c>
    </row>
    <row r="1339" spans="1:9" x14ac:dyDescent="0.2">
      <c r="A1339" s="2">
        <v>11</v>
      </c>
      <c r="B1339" s="1" t="s">
        <v>205</v>
      </c>
      <c r="C1339" s="4">
        <v>5</v>
      </c>
      <c r="D1339" s="8">
        <v>1.47</v>
      </c>
      <c r="E1339" s="4">
        <v>0</v>
      </c>
      <c r="F1339" s="8">
        <v>0</v>
      </c>
      <c r="G1339" s="4">
        <v>5</v>
      </c>
      <c r="H1339" s="8">
        <v>2.94</v>
      </c>
      <c r="I1339" s="4">
        <v>0</v>
      </c>
    </row>
    <row r="1340" spans="1:9" x14ac:dyDescent="0.2">
      <c r="A1340" s="2">
        <v>11</v>
      </c>
      <c r="B1340" s="1" t="s">
        <v>161</v>
      </c>
      <c r="C1340" s="4">
        <v>5</v>
      </c>
      <c r="D1340" s="8">
        <v>1.47</v>
      </c>
      <c r="E1340" s="4">
        <v>4</v>
      </c>
      <c r="F1340" s="8">
        <v>2.38</v>
      </c>
      <c r="G1340" s="4">
        <v>1</v>
      </c>
      <c r="H1340" s="8">
        <v>0.59</v>
      </c>
      <c r="I1340" s="4">
        <v>0</v>
      </c>
    </row>
    <row r="1341" spans="1:9" x14ac:dyDescent="0.2">
      <c r="A1341" s="2">
        <v>11</v>
      </c>
      <c r="B1341" s="1" t="s">
        <v>182</v>
      </c>
      <c r="C1341" s="4">
        <v>5</v>
      </c>
      <c r="D1341" s="8">
        <v>1.47</v>
      </c>
      <c r="E1341" s="4">
        <v>4</v>
      </c>
      <c r="F1341" s="8">
        <v>2.38</v>
      </c>
      <c r="G1341" s="4">
        <v>1</v>
      </c>
      <c r="H1341" s="8">
        <v>0.59</v>
      </c>
      <c r="I1341" s="4">
        <v>0</v>
      </c>
    </row>
    <row r="1342" spans="1:9" x14ac:dyDescent="0.2">
      <c r="A1342" s="2">
        <v>11</v>
      </c>
      <c r="B1342" s="1" t="s">
        <v>201</v>
      </c>
      <c r="C1342" s="4">
        <v>5</v>
      </c>
      <c r="D1342" s="8">
        <v>1.47</v>
      </c>
      <c r="E1342" s="4">
        <v>2</v>
      </c>
      <c r="F1342" s="8">
        <v>1.19</v>
      </c>
      <c r="G1342" s="4">
        <v>3</v>
      </c>
      <c r="H1342" s="8">
        <v>1.76</v>
      </c>
      <c r="I1342" s="4">
        <v>0</v>
      </c>
    </row>
    <row r="1343" spans="1:9" x14ac:dyDescent="0.2">
      <c r="A1343" s="2">
        <v>11</v>
      </c>
      <c r="B1343" s="1" t="s">
        <v>171</v>
      </c>
      <c r="C1343" s="4">
        <v>5</v>
      </c>
      <c r="D1343" s="8">
        <v>1.47</v>
      </c>
      <c r="E1343" s="4">
        <v>4</v>
      </c>
      <c r="F1343" s="8">
        <v>2.38</v>
      </c>
      <c r="G1343" s="4">
        <v>1</v>
      </c>
      <c r="H1343" s="8">
        <v>0.59</v>
      </c>
      <c r="I1343" s="4">
        <v>0</v>
      </c>
    </row>
    <row r="1344" spans="1:9" x14ac:dyDescent="0.2">
      <c r="A1344" s="2">
        <v>11</v>
      </c>
      <c r="B1344" s="1" t="s">
        <v>172</v>
      </c>
      <c r="C1344" s="4">
        <v>5</v>
      </c>
      <c r="D1344" s="8">
        <v>1.47</v>
      </c>
      <c r="E1344" s="4">
        <v>4</v>
      </c>
      <c r="F1344" s="8">
        <v>2.38</v>
      </c>
      <c r="G1344" s="4">
        <v>1</v>
      </c>
      <c r="H1344" s="8">
        <v>0.59</v>
      </c>
      <c r="I1344" s="4">
        <v>0</v>
      </c>
    </row>
    <row r="1345" spans="1:9" x14ac:dyDescent="0.2">
      <c r="A1345" s="2">
        <v>11</v>
      </c>
      <c r="B1345" s="1" t="s">
        <v>254</v>
      </c>
      <c r="C1345" s="4">
        <v>5</v>
      </c>
      <c r="D1345" s="8">
        <v>1.47</v>
      </c>
      <c r="E1345" s="4">
        <v>0</v>
      </c>
      <c r="F1345" s="8">
        <v>0</v>
      </c>
      <c r="G1345" s="4">
        <v>5</v>
      </c>
      <c r="H1345" s="8">
        <v>2.94</v>
      </c>
      <c r="I1345" s="4">
        <v>0</v>
      </c>
    </row>
    <row r="1346" spans="1:9" x14ac:dyDescent="0.2">
      <c r="A1346" s="1"/>
      <c r="C1346" s="4"/>
      <c r="D1346" s="8"/>
      <c r="E1346" s="4"/>
      <c r="F1346" s="8"/>
      <c r="G1346" s="4"/>
      <c r="H1346" s="8"/>
      <c r="I1346" s="4"/>
    </row>
    <row r="1347" spans="1:9" x14ac:dyDescent="0.2">
      <c r="A1347" s="1" t="s">
        <v>57</v>
      </c>
      <c r="C1347" s="4"/>
      <c r="D1347" s="8"/>
      <c r="E1347" s="4"/>
      <c r="F1347" s="8"/>
      <c r="G1347" s="4"/>
      <c r="H1347" s="8"/>
      <c r="I1347" s="4"/>
    </row>
    <row r="1348" spans="1:9" x14ac:dyDescent="0.2">
      <c r="A1348" s="2">
        <v>1</v>
      </c>
      <c r="B1348" s="1" t="s">
        <v>170</v>
      </c>
      <c r="C1348" s="4">
        <v>17</v>
      </c>
      <c r="D1348" s="8">
        <v>7.87</v>
      </c>
      <c r="E1348" s="4">
        <v>17</v>
      </c>
      <c r="F1348" s="8">
        <v>12.14</v>
      </c>
      <c r="G1348" s="4">
        <v>0</v>
      </c>
      <c r="H1348" s="8">
        <v>0</v>
      </c>
      <c r="I1348" s="4">
        <v>0</v>
      </c>
    </row>
    <row r="1349" spans="1:9" x14ac:dyDescent="0.2">
      <c r="A1349" s="2">
        <v>2</v>
      </c>
      <c r="B1349" s="1" t="s">
        <v>166</v>
      </c>
      <c r="C1349" s="4">
        <v>11</v>
      </c>
      <c r="D1349" s="8">
        <v>5.09</v>
      </c>
      <c r="E1349" s="4">
        <v>10</v>
      </c>
      <c r="F1349" s="8">
        <v>7.14</v>
      </c>
      <c r="G1349" s="4">
        <v>1</v>
      </c>
      <c r="H1349" s="8">
        <v>1.37</v>
      </c>
      <c r="I1349" s="4">
        <v>0</v>
      </c>
    </row>
    <row r="1350" spans="1:9" x14ac:dyDescent="0.2">
      <c r="A1350" s="2">
        <v>3</v>
      </c>
      <c r="B1350" s="1" t="s">
        <v>154</v>
      </c>
      <c r="C1350" s="4">
        <v>10</v>
      </c>
      <c r="D1350" s="8">
        <v>4.63</v>
      </c>
      <c r="E1350" s="4">
        <v>0</v>
      </c>
      <c r="F1350" s="8">
        <v>0</v>
      </c>
      <c r="G1350" s="4">
        <v>10</v>
      </c>
      <c r="H1350" s="8">
        <v>13.7</v>
      </c>
      <c r="I1350" s="4">
        <v>0</v>
      </c>
    </row>
    <row r="1351" spans="1:9" x14ac:dyDescent="0.2">
      <c r="A1351" s="2">
        <v>4</v>
      </c>
      <c r="B1351" s="1" t="s">
        <v>175</v>
      </c>
      <c r="C1351" s="4">
        <v>9</v>
      </c>
      <c r="D1351" s="8">
        <v>4.17</v>
      </c>
      <c r="E1351" s="4">
        <v>9</v>
      </c>
      <c r="F1351" s="8">
        <v>6.43</v>
      </c>
      <c r="G1351" s="4">
        <v>0</v>
      </c>
      <c r="H1351" s="8">
        <v>0</v>
      </c>
      <c r="I1351" s="4">
        <v>0</v>
      </c>
    </row>
    <row r="1352" spans="1:9" x14ac:dyDescent="0.2">
      <c r="A1352" s="2">
        <v>5</v>
      </c>
      <c r="B1352" s="1" t="s">
        <v>186</v>
      </c>
      <c r="C1352" s="4">
        <v>8</v>
      </c>
      <c r="D1352" s="8">
        <v>3.7</v>
      </c>
      <c r="E1352" s="4">
        <v>6</v>
      </c>
      <c r="F1352" s="8">
        <v>4.29</v>
      </c>
      <c r="G1352" s="4">
        <v>2</v>
      </c>
      <c r="H1352" s="8">
        <v>2.74</v>
      </c>
      <c r="I1352" s="4">
        <v>0</v>
      </c>
    </row>
    <row r="1353" spans="1:9" x14ac:dyDescent="0.2">
      <c r="A1353" s="2">
        <v>5</v>
      </c>
      <c r="B1353" s="1" t="s">
        <v>164</v>
      </c>
      <c r="C1353" s="4">
        <v>8</v>
      </c>
      <c r="D1353" s="8">
        <v>3.7</v>
      </c>
      <c r="E1353" s="4">
        <v>5</v>
      </c>
      <c r="F1353" s="8">
        <v>3.57</v>
      </c>
      <c r="G1353" s="4">
        <v>3</v>
      </c>
      <c r="H1353" s="8">
        <v>4.1100000000000003</v>
      </c>
      <c r="I1353" s="4">
        <v>0</v>
      </c>
    </row>
    <row r="1354" spans="1:9" x14ac:dyDescent="0.2">
      <c r="A1354" s="2">
        <v>7</v>
      </c>
      <c r="B1354" s="1" t="s">
        <v>159</v>
      </c>
      <c r="C1354" s="4">
        <v>6</v>
      </c>
      <c r="D1354" s="8">
        <v>2.78</v>
      </c>
      <c r="E1354" s="4">
        <v>6</v>
      </c>
      <c r="F1354" s="8">
        <v>4.29</v>
      </c>
      <c r="G1354" s="4">
        <v>0</v>
      </c>
      <c r="H1354" s="8">
        <v>0</v>
      </c>
      <c r="I1354" s="4">
        <v>0</v>
      </c>
    </row>
    <row r="1355" spans="1:9" x14ac:dyDescent="0.2">
      <c r="A1355" s="2">
        <v>7</v>
      </c>
      <c r="B1355" s="1" t="s">
        <v>165</v>
      </c>
      <c r="C1355" s="4">
        <v>6</v>
      </c>
      <c r="D1355" s="8">
        <v>2.78</v>
      </c>
      <c r="E1355" s="4">
        <v>2</v>
      </c>
      <c r="F1355" s="8">
        <v>1.43</v>
      </c>
      <c r="G1355" s="4">
        <v>4</v>
      </c>
      <c r="H1355" s="8">
        <v>5.48</v>
      </c>
      <c r="I1355" s="4">
        <v>0</v>
      </c>
    </row>
    <row r="1356" spans="1:9" x14ac:dyDescent="0.2">
      <c r="A1356" s="2">
        <v>9</v>
      </c>
      <c r="B1356" s="1" t="s">
        <v>156</v>
      </c>
      <c r="C1356" s="4">
        <v>5</v>
      </c>
      <c r="D1356" s="8">
        <v>2.31</v>
      </c>
      <c r="E1356" s="4">
        <v>2</v>
      </c>
      <c r="F1356" s="8">
        <v>1.43</v>
      </c>
      <c r="G1356" s="4">
        <v>3</v>
      </c>
      <c r="H1356" s="8">
        <v>4.1100000000000003</v>
      </c>
      <c r="I1356" s="4">
        <v>0</v>
      </c>
    </row>
    <row r="1357" spans="1:9" x14ac:dyDescent="0.2">
      <c r="A1357" s="2">
        <v>9</v>
      </c>
      <c r="B1357" s="1" t="s">
        <v>167</v>
      </c>
      <c r="C1357" s="4">
        <v>5</v>
      </c>
      <c r="D1357" s="8">
        <v>2.31</v>
      </c>
      <c r="E1357" s="4">
        <v>5</v>
      </c>
      <c r="F1357" s="8">
        <v>3.57</v>
      </c>
      <c r="G1357" s="4">
        <v>0</v>
      </c>
      <c r="H1357" s="8">
        <v>0</v>
      </c>
      <c r="I1357" s="4">
        <v>0</v>
      </c>
    </row>
    <row r="1358" spans="1:9" x14ac:dyDescent="0.2">
      <c r="A1358" s="2">
        <v>9</v>
      </c>
      <c r="B1358" s="1" t="s">
        <v>182</v>
      </c>
      <c r="C1358" s="4">
        <v>5</v>
      </c>
      <c r="D1358" s="8">
        <v>2.31</v>
      </c>
      <c r="E1358" s="4">
        <v>3</v>
      </c>
      <c r="F1358" s="8">
        <v>2.14</v>
      </c>
      <c r="G1358" s="4">
        <v>2</v>
      </c>
      <c r="H1358" s="8">
        <v>2.74</v>
      </c>
      <c r="I1358" s="4">
        <v>0</v>
      </c>
    </row>
    <row r="1359" spans="1:9" x14ac:dyDescent="0.2">
      <c r="A1359" s="2">
        <v>9</v>
      </c>
      <c r="B1359" s="1" t="s">
        <v>169</v>
      </c>
      <c r="C1359" s="4">
        <v>5</v>
      </c>
      <c r="D1359" s="8">
        <v>2.31</v>
      </c>
      <c r="E1359" s="4">
        <v>5</v>
      </c>
      <c r="F1359" s="8">
        <v>3.57</v>
      </c>
      <c r="G1359" s="4">
        <v>0</v>
      </c>
      <c r="H1359" s="8">
        <v>0</v>
      </c>
      <c r="I1359" s="4">
        <v>0</v>
      </c>
    </row>
    <row r="1360" spans="1:9" x14ac:dyDescent="0.2">
      <c r="A1360" s="2">
        <v>9</v>
      </c>
      <c r="B1360" s="1" t="s">
        <v>172</v>
      </c>
      <c r="C1360" s="4">
        <v>5</v>
      </c>
      <c r="D1360" s="8">
        <v>2.31</v>
      </c>
      <c r="E1360" s="4">
        <v>5</v>
      </c>
      <c r="F1360" s="8">
        <v>3.57</v>
      </c>
      <c r="G1360" s="4">
        <v>0</v>
      </c>
      <c r="H1360" s="8">
        <v>0</v>
      </c>
      <c r="I1360" s="4">
        <v>0</v>
      </c>
    </row>
    <row r="1361" spans="1:9" x14ac:dyDescent="0.2">
      <c r="A1361" s="2">
        <v>9</v>
      </c>
      <c r="B1361" s="1" t="s">
        <v>173</v>
      </c>
      <c r="C1361" s="4">
        <v>5</v>
      </c>
      <c r="D1361" s="8">
        <v>2.31</v>
      </c>
      <c r="E1361" s="4">
        <v>4</v>
      </c>
      <c r="F1361" s="8">
        <v>2.86</v>
      </c>
      <c r="G1361" s="4">
        <v>1</v>
      </c>
      <c r="H1361" s="8">
        <v>1.37</v>
      </c>
      <c r="I1361" s="4">
        <v>0</v>
      </c>
    </row>
    <row r="1362" spans="1:9" x14ac:dyDescent="0.2">
      <c r="A1362" s="2">
        <v>15</v>
      </c>
      <c r="B1362" s="1" t="s">
        <v>177</v>
      </c>
      <c r="C1362" s="4">
        <v>4</v>
      </c>
      <c r="D1362" s="8">
        <v>1.85</v>
      </c>
      <c r="E1362" s="4">
        <v>3</v>
      </c>
      <c r="F1362" s="8">
        <v>2.14</v>
      </c>
      <c r="G1362" s="4">
        <v>1</v>
      </c>
      <c r="H1362" s="8">
        <v>1.37</v>
      </c>
      <c r="I1362" s="4">
        <v>0</v>
      </c>
    </row>
    <row r="1363" spans="1:9" x14ac:dyDescent="0.2">
      <c r="A1363" s="2">
        <v>15</v>
      </c>
      <c r="B1363" s="1" t="s">
        <v>204</v>
      </c>
      <c r="C1363" s="4">
        <v>4</v>
      </c>
      <c r="D1363" s="8">
        <v>1.85</v>
      </c>
      <c r="E1363" s="4">
        <v>0</v>
      </c>
      <c r="F1363" s="8">
        <v>0</v>
      </c>
      <c r="G1363" s="4">
        <v>4</v>
      </c>
      <c r="H1363" s="8">
        <v>5.48</v>
      </c>
      <c r="I1363" s="4">
        <v>0</v>
      </c>
    </row>
    <row r="1364" spans="1:9" x14ac:dyDescent="0.2">
      <c r="A1364" s="2">
        <v>17</v>
      </c>
      <c r="B1364" s="1" t="s">
        <v>255</v>
      </c>
      <c r="C1364" s="4">
        <v>3</v>
      </c>
      <c r="D1364" s="8">
        <v>1.39</v>
      </c>
      <c r="E1364" s="4">
        <v>3</v>
      </c>
      <c r="F1364" s="8">
        <v>2.14</v>
      </c>
      <c r="G1364" s="4">
        <v>0</v>
      </c>
      <c r="H1364" s="8">
        <v>0</v>
      </c>
      <c r="I1364" s="4">
        <v>0</v>
      </c>
    </row>
    <row r="1365" spans="1:9" x14ac:dyDescent="0.2">
      <c r="A1365" s="2">
        <v>17</v>
      </c>
      <c r="B1365" s="1" t="s">
        <v>174</v>
      </c>
      <c r="C1365" s="4">
        <v>3</v>
      </c>
      <c r="D1365" s="8">
        <v>1.39</v>
      </c>
      <c r="E1365" s="4">
        <v>2</v>
      </c>
      <c r="F1365" s="8">
        <v>1.43</v>
      </c>
      <c r="G1365" s="4">
        <v>1</v>
      </c>
      <c r="H1365" s="8">
        <v>1.37</v>
      </c>
      <c r="I1365" s="4">
        <v>0</v>
      </c>
    </row>
    <row r="1366" spans="1:9" x14ac:dyDescent="0.2">
      <c r="A1366" s="2">
        <v>17</v>
      </c>
      <c r="B1366" s="1" t="s">
        <v>256</v>
      </c>
      <c r="C1366" s="4">
        <v>3</v>
      </c>
      <c r="D1366" s="8">
        <v>1.39</v>
      </c>
      <c r="E1366" s="4">
        <v>0</v>
      </c>
      <c r="F1366" s="8">
        <v>0</v>
      </c>
      <c r="G1366" s="4">
        <v>3</v>
      </c>
      <c r="H1366" s="8">
        <v>4.1100000000000003</v>
      </c>
      <c r="I1366" s="4">
        <v>0</v>
      </c>
    </row>
    <row r="1367" spans="1:9" x14ac:dyDescent="0.2">
      <c r="A1367" s="2">
        <v>17</v>
      </c>
      <c r="B1367" s="1" t="s">
        <v>257</v>
      </c>
      <c r="C1367" s="4">
        <v>3</v>
      </c>
      <c r="D1367" s="8">
        <v>1.39</v>
      </c>
      <c r="E1367" s="4">
        <v>3</v>
      </c>
      <c r="F1367" s="8">
        <v>2.14</v>
      </c>
      <c r="G1367" s="4">
        <v>0</v>
      </c>
      <c r="H1367" s="8">
        <v>0</v>
      </c>
      <c r="I1367" s="4">
        <v>0</v>
      </c>
    </row>
    <row r="1368" spans="1:9" x14ac:dyDescent="0.2">
      <c r="A1368" s="2">
        <v>17</v>
      </c>
      <c r="B1368" s="1" t="s">
        <v>158</v>
      </c>
      <c r="C1368" s="4">
        <v>3</v>
      </c>
      <c r="D1368" s="8">
        <v>1.39</v>
      </c>
      <c r="E1368" s="4">
        <v>2</v>
      </c>
      <c r="F1368" s="8">
        <v>1.43</v>
      </c>
      <c r="G1368" s="4">
        <v>1</v>
      </c>
      <c r="H1368" s="8">
        <v>1.37</v>
      </c>
      <c r="I1368" s="4">
        <v>0</v>
      </c>
    </row>
    <row r="1369" spans="1:9" x14ac:dyDescent="0.2">
      <c r="A1369" s="2">
        <v>17</v>
      </c>
      <c r="B1369" s="1" t="s">
        <v>160</v>
      </c>
      <c r="C1369" s="4">
        <v>3</v>
      </c>
      <c r="D1369" s="8">
        <v>1.39</v>
      </c>
      <c r="E1369" s="4">
        <v>1</v>
      </c>
      <c r="F1369" s="8">
        <v>0.71</v>
      </c>
      <c r="G1369" s="4">
        <v>2</v>
      </c>
      <c r="H1369" s="8">
        <v>2.74</v>
      </c>
      <c r="I1369" s="4">
        <v>0</v>
      </c>
    </row>
    <row r="1370" spans="1:9" x14ac:dyDescent="0.2">
      <c r="A1370" s="2">
        <v>17</v>
      </c>
      <c r="B1370" s="1" t="s">
        <v>205</v>
      </c>
      <c r="C1370" s="4">
        <v>3</v>
      </c>
      <c r="D1370" s="8">
        <v>1.39</v>
      </c>
      <c r="E1370" s="4">
        <v>2</v>
      </c>
      <c r="F1370" s="8">
        <v>1.43</v>
      </c>
      <c r="G1370" s="4">
        <v>1</v>
      </c>
      <c r="H1370" s="8">
        <v>1.37</v>
      </c>
      <c r="I1370" s="4">
        <v>0</v>
      </c>
    </row>
    <row r="1371" spans="1:9" x14ac:dyDescent="0.2">
      <c r="A1371" s="2">
        <v>17</v>
      </c>
      <c r="B1371" s="1" t="s">
        <v>179</v>
      </c>
      <c r="C1371" s="4">
        <v>3</v>
      </c>
      <c r="D1371" s="8">
        <v>1.39</v>
      </c>
      <c r="E1371" s="4">
        <v>3</v>
      </c>
      <c r="F1371" s="8">
        <v>2.14</v>
      </c>
      <c r="G1371" s="4">
        <v>0</v>
      </c>
      <c r="H1371" s="8">
        <v>0</v>
      </c>
      <c r="I1371" s="4">
        <v>0</v>
      </c>
    </row>
    <row r="1372" spans="1:9" x14ac:dyDescent="0.2">
      <c r="A1372" s="2">
        <v>17</v>
      </c>
      <c r="B1372" s="1" t="s">
        <v>201</v>
      </c>
      <c r="C1372" s="4">
        <v>3</v>
      </c>
      <c r="D1372" s="8">
        <v>1.39</v>
      </c>
      <c r="E1372" s="4">
        <v>3</v>
      </c>
      <c r="F1372" s="8">
        <v>2.14</v>
      </c>
      <c r="G1372" s="4">
        <v>0</v>
      </c>
      <c r="H1372" s="8">
        <v>0</v>
      </c>
      <c r="I1372" s="4">
        <v>0</v>
      </c>
    </row>
    <row r="1373" spans="1:9" x14ac:dyDescent="0.2">
      <c r="A1373" s="1"/>
      <c r="C1373" s="4"/>
      <c r="D1373" s="8"/>
      <c r="E1373" s="4"/>
      <c r="F1373" s="8"/>
      <c r="G1373" s="4"/>
      <c r="H1373" s="8"/>
      <c r="I1373" s="4"/>
    </row>
    <row r="1374" spans="1:9" x14ac:dyDescent="0.2">
      <c r="A1374" s="1" t="s">
        <v>58</v>
      </c>
      <c r="C1374" s="4"/>
      <c r="D1374" s="8"/>
      <c r="E1374" s="4"/>
      <c r="F1374" s="8"/>
      <c r="G1374" s="4"/>
      <c r="H1374" s="8"/>
      <c r="I1374" s="4"/>
    </row>
    <row r="1375" spans="1:9" x14ac:dyDescent="0.2">
      <c r="A1375" s="2">
        <v>1</v>
      </c>
      <c r="B1375" s="1" t="s">
        <v>159</v>
      </c>
      <c r="C1375" s="4">
        <v>24</v>
      </c>
      <c r="D1375" s="8">
        <v>5.04</v>
      </c>
      <c r="E1375" s="4">
        <v>19</v>
      </c>
      <c r="F1375" s="8">
        <v>7.22</v>
      </c>
      <c r="G1375" s="4">
        <v>5</v>
      </c>
      <c r="H1375" s="8">
        <v>2.4</v>
      </c>
      <c r="I1375" s="4">
        <v>0</v>
      </c>
    </row>
    <row r="1376" spans="1:9" x14ac:dyDescent="0.2">
      <c r="A1376" s="2">
        <v>2</v>
      </c>
      <c r="B1376" s="1" t="s">
        <v>154</v>
      </c>
      <c r="C1376" s="4">
        <v>21</v>
      </c>
      <c r="D1376" s="8">
        <v>4.41</v>
      </c>
      <c r="E1376" s="4">
        <v>5</v>
      </c>
      <c r="F1376" s="8">
        <v>1.9</v>
      </c>
      <c r="G1376" s="4">
        <v>16</v>
      </c>
      <c r="H1376" s="8">
        <v>7.69</v>
      </c>
      <c r="I1376" s="4">
        <v>0</v>
      </c>
    </row>
    <row r="1377" spans="1:9" x14ac:dyDescent="0.2">
      <c r="A1377" s="2">
        <v>3</v>
      </c>
      <c r="B1377" s="1" t="s">
        <v>170</v>
      </c>
      <c r="C1377" s="4">
        <v>20</v>
      </c>
      <c r="D1377" s="8">
        <v>4.2</v>
      </c>
      <c r="E1377" s="4">
        <v>20</v>
      </c>
      <c r="F1377" s="8">
        <v>7.6</v>
      </c>
      <c r="G1377" s="4">
        <v>0</v>
      </c>
      <c r="H1377" s="8">
        <v>0</v>
      </c>
      <c r="I1377" s="4">
        <v>0</v>
      </c>
    </row>
    <row r="1378" spans="1:9" x14ac:dyDescent="0.2">
      <c r="A1378" s="2">
        <v>4</v>
      </c>
      <c r="B1378" s="1" t="s">
        <v>169</v>
      </c>
      <c r="C1378" s="4">
        <v>18</v>
      </c>
      <c r="D1378" s="8">
        <v>3.78</v>
      </c>
      <c r="E1378" s="4">
        <v>18</v>
      </c>
      <c r="F1378" s="8">
        <v>6.84</v>
      </c>
      <c r="G1378" s="4">
        <v>0</v>
      </c>
      <c r="H1378" s="8">
        <v>0</v>
      </c>
      <c r="I1378" s="4">
        <v>0</v>
      </c>
    </row>
    <row r="1379" spans="1:9" x14ac:dyDescent="0.2">
      <c r="A1379" s="2">
        <v>5</v>
      </c>
      <c r="B1379" s="1" t="s">
        <v>172</v>
      </c>
      <c r="C1379" s="4">
        <v>12</v>
      </c>
      <c r="D1379" s="8">
        <v>2.52</v>
      </c>
      <c r="E1379" s="4">
        <v>10</v>
      </c>
      <c r="F1379" s="8">
        <v>3.8</v>
      </c>
      <c r="G1379" s="4">
        <v>2</v>
      </c>
      <c r="H1379" s="8">
        <v>0.96</v>
      </c>
      <c r="I1379" s="4">
        <v>0</v>
      </c>
    </row>
    <row r="1380" spans="1:9" x14ac:dyDescent="0.2">
      <c r="A1380" s="2">
        <v>6</v>
      </c>
      <c r="B1380" s="1" t="s">
        <v>174</v>
      </c>
      <c r="C1380" s="4">
        <v>11</v>
      </c>
      <c r="D1380" s="8">
        <v>2.31</v>
      </c>
      <c r="E1380" s="4">
        <v>6</v>
      </c>
      <c r="F1380" s="8">
        <v>2.2799999999999998</v>
      </c>
      <c r="G1380" s="4">
        <v>5</v>
      </c>
      <c r="H1380" s="8">
        <v>2.4</v>
      </c>
      <c r="I1380" s="4">
        <v>0</v>
      </c>
    </row>
    <row r="1381" spans="1:9" x14ac:dyDescent="0.2">
      <c r="A1381" s="2">
        <v>6</v>
      </c>
      <c r="B1381" s="1" t="s">
        <v>161</v>
      </c>
      <c r="C1381" s="4">
        <v>11</v>
      </c>
      <c r="D1381" s="8">
        <v>2.31</v>
      </c>
      <c r="E1381" s="4">
        <v>9</v>
      </c>
      <c r="F1381" s="8">
        <v>3.42</v>
      </c>
      <c r="G1381" s="4">
        <v>2</v>
      </c>
      <c r="H1381" s="8">
        <v>0.96</v>
      </c>
      <c r="I1381" s="4">
        <v>0</v>
      </c>
    </row>
    <row r="1382" spans="1:9" x14ac:dyDescent="0.2">
      <c r="A1382" s="2">
        <v>8</v>
      </c>
      <c r="B1382" s="1" t="s">
        <v>155</v>
      </c>
      <c r="C1382" s="4">
        <v>10</v>
      </c>
      <c r="D1382" s="8">
        <v>2.1</v>
      </c>
      <c r="E1382" s="4">
        <v>4</v>
      </c>
      <c r="F1382" s="8">
        <v>1.52</v>
      </c>
      <c r="G1382" s="4">
        <v>6</v>
      </c>
      <c r="H1382" s="8">
        <v>2.88</v>
      </c>
      <c r="I1382" s="4">
        <v>0</v>
      </c>
    </row>
    <row r="1383" spans="1:9" x14ac:dyDescent="0.2">
      <c r="A1383" s="2">
        <v>8</v>
      </c>
      <c r="B1383" s="1" t="s">
        <v>203</v>
      </c>
      <c r="C1383" s="4">
        <v>10</v>
      </c>
      <c r="D1383" s="8">
        <v>2.1</v>
      </c>
      <c r="E1383" s="4">
        <v>3</v>
      </c>
      <c r="F1383" s="8">
        <v>1.1399999999999999</v>
      </c>
      <c r="G1383" s="4">
        <v>7</v>
      </c>
      <c r="H1383" s="8">
        <v>3.37</v>
      </c>
      <c r="I1383" s="4">
        <v>0</v>
      </c>
    </row>
    <row r="1384" spans="1:9" x14ac:dyDescent="0.2">
      <c r="A1384" s="2">
        <v>8</v>
      </c>
      <c r="B1384" s="1" t="s">
        <v>156</v>
      </c>
      <c r="C1384" s="4">
        <v>10</v>
      </c>
      <c r="D1384" s="8">
        <v>2.1</v>
      </c>
      <c r="E1384" s="4">
        <v>4</v>
      </c>
      <c r="F1384" s="8">
        <v>1.52</v>
      </c>
      <c r="G1384" s="4">
        <v>6</v>
      </c>
      <c r="H1384" s="8">
        <v>2.88</v>
      </c>
      <c r="I1384" s="4">
        <v>0</v>
      </c>
    </row>
    <row r="1385" spans="1:9" x14ac:dyDescent="0.2">
      <c r="A1385" s="2">
        <v>8</v>
      </c>
      <c r="B1385" s="1" t="s">
        <v>166</v>
      </c>
      <c r="C1385" s="4">
        <v>10</v>
      </c>
      <c r="D1385" s="8">
        <v>2.1</v>
      </c>
      <c r="E1385" s="4">
        <v>10</v>
      </c>
      <c r="F1385" s="8">
        <v>3.8</v>
      </c>
      <c r="G1385" s="4">
        <v>0</v>
      </c>
      <c r="H1385" s="8">
        <v>0</v>
      </c>
      <c r="I1385" s="4">
        <v>0</v>
      </c>
    </row>
    <row r="1386" spans="1:9" x14ac:dyDescent="0.2">
      <c r="A1386" s="2">
        <v>12</v>
      </c>
      <c r="B1386" s="1" t="s">
        <v>233</v>
      </c>
      <c r="C1386" s="4">
        <v>9</v>
      </c>
      <c r="D1386" s="8">
        <v>1.89</v>
      </c>
      <c r="E1386" s="4">
        <v>4</v>
      </c>
      <c r="F1386" s="8">
        <v>1.52</v>
      </c>
      <c r="G1386" s="4">
        <v>5</v>
      </c>
      <c r="H1386" s="8">
        <v>2.4</v>
      </c>
      <c r="I1386" s="4">
        <v>0</v>
      </c>
    </row>
    <row r="1387" spans="1:9" x14ac:dyDescent="0.2">
      <c r="A1387" s="2">
        <v>12</v>
      </c>
      <c r="B1387" s="1" t="s">
        <v>164</v>
      </c>
      <c r="C1387" s="4">
        <v>9</v>
      </c>
      <c r="D1387" s="8">
        <v>1.89</v>
      </c>
      <c r="E1387" s="4">
        <v>2</v>
      </c>
      <c r="F1387" s="8">
        <v>0.76</v>
      </c>
      <c r="G1387" s="4">
        <v>7</v>
      </c>
      <c r="H1387" s="8">
        <v>3.37</v>
      </c>
      <c r="I1387" s="4">
        <v>0</v>
      </c>
    </row>
    <row r="1388" spans="1:9" x14ac:dyDescent="0.2">
      <c r="A1388" s="2">
        <v>12</v>
      </c>
      <c r="B1388" s="1" t="s">
        <v>173</v>
      </c>
      <c r="C1388" s="4">
        <v>9</v>
      </c>
      <c r="D1388" s="8">
        <v>1.89</v>
      </c>
      <c r="E1388" s="4">
        <v>7</v>
      </c>
      <c r="F1388" s="8">
        <v>2.66</v>
      </c>
      <c r="G1388" s="4">
        <v>2</v>
      </c>
      <c r="H1388" s="8">
        <v>0.96</v>
      </c>
      <c r="I1388" s="4">
        <v>0</v>
      </c>
    </row>
    <row r="1389" spans="1:9" x14ac:dyDescent="0.2">
      <c r="A1389" s="2">
        <v>15</v>
      </c>
      <c r="B1389" s="1" t="s">
        <v>158</v>
      </c>
      <c r="C1389" s="4">
        <v>8</v>
      </c>
      <c r="D1389" s="8">
        <v>1.68</v>
      </c>
      <c r="E1389" s="4">
        <v>5</v>
      </c>
      <c r="F1389" s="8">
        <v>1.9</v>
      </c>
      <c r="G1389" s="4">
        <v>3</v>
      </c>
      <c r="H1389" s="8">
        <v>1.44</v>
      </c>
      <c r="I1389" s="4">
        <v>0</v>
      </c>
    </row>
    <row r="1390" spans="1:9" x14ac:dyDescent="0.2">
      <c r="A1390" s="2">
        <v>15</v>
      </c>
      <c r="B1390" s="1" t="s">
        <v>160</v>
      </c>
      <c r="C1390" s="4">
        <v>8</v>
      </c>
      <c r="D1390" s="8">
        <v>1.68</v>
      </c>
      <c r="E1390" s="4">
        <v>2</v>
      </c>
      <c r="F1390" s="8">
        <v>0.76</v>
      </c>
      <c r="G1390" s="4">
        <v>6</v>
      </c>
      <c r="H1390" s="8">
        <v>2.88</v>
      </c>
      <c r="I1390" s="4">
        <v>0</v>
      </c>
    </row>
    <row r="1391" spans="1:9" x14ac:dyDescent="0.2">
      <c r="A1391" s="2">
        <v>15</v>
      </c>
      <c r="B1391" s="1" t="s">
        <v>167</v>
      </c>
      <c r="C1391" s="4">
        <v>8</v>
      </c>
      <c r="D1391" s="8">
        <v>1.68</v>
      </c>
      <c r="E1391" s="4">
        <v>8</v>
      </c>
      <c r="F1391" s="8">
        <v>3.04</v>
      </c>
      <c r="G1391" s="4">
        <v>0</v>
      </c>
      <c r="H1391" s="8">
        <v>0</v>
      </c>
      <c r="I1391" s="4">
        <v>0</v>
      </c>
    </row>
    <row r="1392" spans="1:9" x14ac:dyDescent="0.2">
      <c r="A1392" s="2">
        <v>18</v>
      </c>
      <c r="B1392" s="1" t="s">
        <v>181</v>
      </c>
      <c r="C1392" s="4">
        <v>7</v>
      </c>
      <c r="D1392" s="8">
        <v>1.47</v>
      </c>
      <c r="E1392" s="4">
        <v>6</v>
      </c>
      <c r="F1392" s="8">
        <v>2.2799999999999998</v>
      </c>
      <c r="G1392" s="4">
        <v>1</v>
      </c>
      <c r="H1392" s="8">
        <v>0.48</v>
      </c>
      <c r="I1392" s="4">
        <v>0</v>
      </c>
    </row>
    <row r="1393" spans="1:9" x14ac:dyDescent="0.2">
      <c r="A1393" s="2">
        <v>18</v>
      </c>
      <c r="B1393" s="1" t="s">
        <v>208</v>
      </c>
      <c r="C1393" s="4">
        <v>7</v>
      </c>
      <c r="D1393" s="8">
        <v>1.47</v>
      </c>
      <c r="E1393" s="4">
        <v>6</v>
      </c>
      <c r="F1393" s="8">
        <v>2.2799999999999998</v>
      </c>
      <c r="G1393" s="4">
        <v>1</v>
      </c>
      <c r="H1393" s="8">
        <v>0.48</v>
      </c>
      <c r="I1393" s="4">
        <v>0</v>
      </c>
    </row>
    <row r="1394" spans="1:9" x14ac:dyDescent="0.2">
      <c r="A1394" s="2">
        <v>18</v>
      </c>
      <c r="B1394" s="1" t="s">
        <v>182</v>
      </c>
      <c r="C1394" s="4">
        <v>7</v>
      </c>
      <c r="D1394" s="8">
        <v>1.47</v>
      </c>
      <c r="E1394" s="4">
        <v>2</v>
      </c>
      <c r="F1394" s="8">
        <v>0.76</v>
      </c>
      <c r="G1394" s="4">
        <v>5</v>
      </c>
      <c r="H1394" s="8">
        <v>2.4</v>
      </c>
      <c r="I1394" s="4">
        <v>0</v>
      </c>
    </row>
    <row r="1395" spans="1:9" x14ac:dyDescent="0.2">
      <c r="A1395" s="1"/>
      <c r="C1395" s="4"/>
      <c r="D1395" s="8"/>
      <c r="E1395" s="4"/>
      <c r="F1395" s="8"/>
      <c r="G1395" s="4"/>
      <c r="H1395" s="8"/>
      <c r="I1395" s="4"/>
    </row>
    <row r="1396" spans="1:9" x14ac:dyDescent="0.2">
      <c r="A1396" s="1" t="s">
        <v>59</v>
      </c>
      <c r="C1396" s="4"/>
      <c r="D1396" s="8"/>
      <c r="E1396" s="4"/>
      <c r="F1396" s="8"/>
      <c r="G1396" s="4"/>
      <c r="H1396" s="8"/>
      <c r="I1396" s="4"/>
    </row>
    <row r="1397" spans="1:9" x14ac:dyDescent="0.2">
      <c r="A1397" s="2">
        <v>1</v>
      </c>
      <c r="B1397" s="1" t="s">
        <v>258</v>
      </c>
      <c r="C1397" s="4">
        <v>24</v>
      </c>
      <c r="D1397" s="8">
        <v>19.2</v>
      </c>
      <c r="E1397" s="4">
        <v>15</v>
      </c>
      <c r="F1397" s="8">
        <v>16.48</v>
      </c>
      <c r="G1397" s="4">
        <v>9</v>
      </c>
      <c r="H1397" s="8">
        <v>28.13</v>
      </c>
      <c r="I1397" s="4">
        <v>0</v>
      </c>
    </row>
    <row r="1398" spans="1:9" x14ac:dyDescent="0.2">
      <c r="A1398" s="2">
        <v>2</v>
      </c>
      <c r="B1398" s="1" t="s">
        <v>259</v>
      </c>
      <c r="C1398" s="4">
        <v>19</v>
      </c>
      <c r="D1398" s="8">
        <v>15.2</v>
      </c>
      <c r="E1398" s="4">
        <v>19</v>
      </c>
      <c r="F1398" s="8">
        <v>20.88</v>
      </c>
      <c r="G1398" s="4">
        <v>0</v>
      </c>
      <c r="H1398" s="8">
        <v>0</v>
      </c>
      <c r="I1398" s="4">
        <v>0</v>
      </c>
    </row>
    <row r="1399" spans="1:9" x14ac:dyDescent="0.2">
      <c r="A1399" s="2">
        <v>3</v>
      </c>
      <c r="B1399" s="1" t="s">
        <v>154</v>
      </c>
      <c r="C1399" s="4">
        <v>7</v>
      </c>
      <c r="D1399" s="8">
        <v>5.6</v>
      </c>
      <c r="E1399" s="4">
        <v>5</v>
      </c>
      <c r="F1399" s="8">
        <v>5.49</v>
      </c>
      <c r="G1399" s="4">
        <v>2</v>
      </c>
      <c r="H1399" s="8">
        <v>6.25</v>
      </c>
      <c r="I1399" s="4">
        <v>0</v>
      </c>
    </row>
    <row r="1400" spans="1:9" x14ac:dyDescent="0.2">
      <c r="A1400" s="2">
        <v>3</v>
      </c>
      <c r="B1400" s="1" t="s">
        <v>260</v>
      </c>
      <c r="C1400" s="4">
        <v>7</v>
      </c>
      <c r="D1400" s="8">
        <v>5.6</v>
      </c>
      <c r="E1400" s="4">
        <v>7</v>
      </c>
      <c r="F1400" s="8">
        <v>7.69</v>
      </c>
      <c r="G1400" s="4">
        <v>0</v>
      </c>
      <c r="H1400" s="8">
        <v>0</v>
      </c>
      <c r="I1400" s="4">
        <v>0</v>
      </c>
    </row>
    <row r="1401" spans="1:9" x14ac:dyDescent="0.2">
      <c r="A1401" s="2">
        <v>5</v>
      </c>
      <c r="B1401" s="1" t="s">
        <v>208</v>
      </c>
      <c r="C1401" s="4">
        <v>3</v>
      </c>
      <c r="D1401" s="8">
        <v>2.4</v>
      </c>
      <c r="E1401" s="4">
        <v>3</v>
      </c>
      <c r="F1401" s="8">
        <v>3.3</v>
      </c>
      <c r="G1401" s="4">
        <v>0</v>
      </c>
      <c r="H1401" s="8">
        <v>0</v>
      </c>
      <c r="I1401" s="4">
        <v>0</v>
      </c>
    </row>
    <row r="1402" spans="1:9" x14ac:dyDescent="0.2">
      <c r="A1402" s="2">
        <v>5</v>
      </c>
      <c r="B1402" s="1" t="s">
        <v>178</v>
      </c>
      <c r="C1402" s="4">
        <v>3</v>
      </c>
      <c r="D1402" s="8">
        <v>2.4</v>
      </c>
      <c r="E1402" s="4">
        <v>2</v>
      </c>
      <c r="F1402" s="8">
        <v>2.2000000000000002</v>
      </c>
      <c r="G1402" s="4">
        <v>1</v>
      </c>
      <c r="H1402" s="8">
        <v>3.13</v>
      </c>
      <c r="I1402" s="4">
        <v>0</v>
      </c>
    </row>
    <row r="1403" spans="1:9" x14ac:dyDescent="0.2">
      <c r="A1403" s="2">
        <v>5</v>
      </c>
      <c r="B1403" s="1" t="s">
        <v>166</v>
      </c>
      <c r="C1403" s="4">
        <v>3</v>
      </c>
      <c r="D1403" s="8">
        <v>2.4</v>
      </c>
      <c r="E1403" s="4">
        <v>2</v>
      </c>
      <c r="F1403" s="8">
        <v>2.2000000000000002</v>
      </c>
      <c r="G1403" s="4">
        <v>1</v>
      </c>
      <c r="H1403" s="8">
        <v>3.13</v>
      </c>
      <c r="I1403" s="4">
        <v>0</v>
      </c>
    </row>
    <row r="1404" spans="1:9" x14ac:dyDescent="0.2">
      <c r="A1404" s="2">
        <v>5</v>
      </c>
      <c r="B1404" s="1" t="s">
        <v>179</v>
      </c>
      <c r="C1404" s="4">
        <v>3</v>
      </c>
      <c r="D1404" s="8">
        <v>2.4</v>
      </c>
      <c r="E1404" s="4">
        <v>3</v>
      </c>
      <c r="F1404" s="8">
        <v>3.3</v>
      </c>
      <c r="G1404" s="4">
        <v>0</v>
      </c>
      <c r="H1404" s="8">
        <v>0</v>
      </c>
      <c r="I1404" s="4">
        <v>0</v>
      </c>
    </row>
    <row r="1405" spans="1:9" x14ac:dyDescent="0.2">
      <c r="A1405" s="2">
        <v>5</v>
      </c>
      <c r="B1405" s="1" t="s">
        <v>170</v>
      </c>
      <c r="C1405" s="4">
        <v>3</v>
      </c>
      <c r="D1405" s="8">
        <v>2.4</v>
      </c>
      <c r="E1405" s="4">
        <v>3</v>
      </c>
      <c r="F1405" s="8">
        <v>3.3</v>
      </c>
      <c r="G1405" s="4">
        <v>0</v>
      </c>
      <c r="H1405" s="8">
        <v>0</v>
      </c>
      <c r="I1405" s="4">
        <v>0</v>
      </c>
    </row>
    <row r="1406" spans="1:9" x14ac:dyDescent="0.2">
      <c r="A1406" s="2">
        <v>5</v>
      </c>
      <c r="B1406" s="1" t="s">
        <v>173</v>
      </c>
      <c r="C1406" s="4">
        <v>3</v>
      </c>
      <c r="D1406" s="8">
        <v>2.4</v>
      </c>
      <c r="E1406" s="4">
        <v>3</v>
      </c>
      <c r="F1406" s="8">
        <v>3.3</v>
      </c>
      <c r="G1406" s="4">
        <v>0</v>
      </c>
      <c r="H1406" s="8">
        <v>0</v>
      </c>
      <c r="I1406" s="4">
        <v>0</v>
      </c>
    </row>
    <row r="1407" spans="1:9" x14ac:dyDescent="0.2">
      <c r="A1407" s="2">
        <v>11</v>
      </c>
      <c r="B1407" s="1" t="s">
        <v>155</v>
      </c>
      <c r="C1407" s="4">
        <v>2</v>
      </c>
      <c r="D1407" s="8">
        <v>1.6</v>
      </c>
      <c r="E1407" s="4">
        <v>2</v>
      </c>
      <c r="F1407" s="8">
        <v>2.2000000000000002</v>
      </c>
      <c r="G1407" s="4">
        <v>0</v>
      </c>
      <c r="H1407" s="8">
        <v>0</v>
      </c>
      <c r="I1407" s="4">
        <v>0</v>
      </c>
    </row>
    <row r="1408" spans="1:9" x14ac:dyDescent="0.2">
      <c r="A1408" s="2">
        <v>11</v>
      </c>
      <c r="B1408" s="1" t="s">
        <v>223</v>
      </c>
      <c r="C1408" s="4">
        <v>2</v>
      </c>
      <c r="D1408" s="8">
        <v>1.6</v>
      </c>
      <c r="E1408" s="4">
        <v>0</v>
      </c>
      <c r="F1408" s="8">
        <v>0</v>
      </c>
      <c r="G1408" s="4">
        <v>2</v>
      </c>
      <c r="H1408" s="8">
        <v>6.25</v>
      </c>
      <c r="I1408" s="4">
        <v>0</v>
      </c>
    </row>
    <row r="1409" spans="1:9" x14ac:dyDescent="0.2">
      <c r="A1409" s="2">
        <v>11</v>
      </c>
      <c r="B1409" s="1" t="s">
        <v>215</v>
      </c>
      <c r="C1409" s="4">
        <v>2</v>
      </c>
      <c r="D1409" s="8">
        <v>1.6</v>
      </c>
      <c r="E1409" s="4">
        <v>0</v>
      </c>
      <c r="F1409" s="8">
        <v>0</v>
      </c>
      <c r="G1409" s="4">
        <v>1</v>
      </c>
      <c r="H1409" s="8">
        <v>3.13</v>
      </c>
      <c r="I1409" s="4">
        <v>1</v>
      </c>
    </row>
    <row r="1410" spans="1:9" x14ac:dyDescent="0.2">
      <c r="A1410" s="2">
        <v>11</v>
      </c>
      <c r="B1410" s="1" t="s">
        <v>227</v>
      </c>
      <c r="C1410" s="4">
        <v>2</v>
      </c>
      <c r="D1410" s="8">
        <v>1.6</v>
      </c>
      <c r="E1410" s="4">
        <v>0</v>
      </c>
      <c r="F1410" s="8">
        <v>0</v>
      </c>
      <c r="G1410" s="4">
        <v>2</v>
      </c>
      <c r="H1410" s="8">
        <v>6.25</v>
      </c>
      <c r="I1410" s="4">
        <v>0</v>
      </c>
    </row>
    <row r="1411" spans="1:9" x14ac:dyDescent="0.2">
      <c r="A1411" s="2">
        <v>11</v>
      </c>
      <c r="B1411" s="1" t="s">
        <v>158</v>
      </c>
      <c r="C1411" s="4">
        <v>2</v>
      </c>
      <c r="D1411" s="8">
        <v>1.6</v>
      </c>
      <c r="E1411" s="4">
        <v>2</v>
      </c>
      <c r="F1411" s="8">
        <v>2.2000000000000002</v>
      </c>
      <c r="G1411" s="4">
        <v>0</v>
      </c>
      <c r="H1411" s="8">
        <v>0</v>
      </c>
      <c r="I1411" s="4">
        <v>0</v>
      </c>
    </row>
    <row r="1412" spans="1:9" x14ac:dyDescent="0.2">
      <c r="A1412" s="2">
        <v>11</v>
      </c>
      <c r="B1412" s="1" t="s">
        <v>205</v>
      </c>
      <c r="C1412" s="4">
        <v>2</v>
      </c>
      <c r="D1412" s="8">
        <v>1.6</v>
      </c>
      <c r="E1412" s="4">
        <v>0</v>
      </c>
      <c r="F1412" s="8">
        <v>0</v>
      </c>
      <c r="G1412" s="4">
        <v>2</v>
      </c>
      <c r="H1412" s="8">
        <v>6.25</v>
      </c>
      <c r="I1412" s="4">
        <v>0</v>
      </c>
    </row>
    <row r="1413" spans="1:9" x14ac:dyDescent="0.2">
      <c r="A1413" s="2">
        <v>11</v>
      </c>
      <c r="B1413" s="1" t="s">
        <v>161</v>
      </c>
      <c r="C1413" s="4">
        <v>2</v>
      </c>
      <c r="D1413" s="8">
        <v>1.6</v>
      </c>
      <c r="E1413" s="4">
        <v>0</v>
      </c>
      <c r="F1413" s="8">
        <v>0</v>
      </c>
      <c r="G1413" s="4">
        <v>2</v>
      </c>
      <c r="H1413" s="8">
        <v>6.25</v>
      </c>
      <c r="I1413" s="4">
        <v>0</v>
      </c>
    </row>
    <row r="1414" spans="1:9" x14ac:dyDescent="0.2">
      <c r="A1414" s="2">
        <v>11</v>
      </c>
      <c r="B1414" s="1" t="s">
        <v>231</v>
      </c>
      <c r="C1414" s="4">
        <v>2</v>
      </c>
      <c r="D1414" s="8">
        <v>1.6</v>
      </c>
      <c r="E1414" s="4">
        <v>2</v>
      </c>
      <c r="F1414" s="8">
        <v>2.2000000000000002</v>
      </c>
      <c r="G1414" s="4">
        <v>0</v>
      </c>
      <c r="H1414" s="8">
        <v>0</v>
      </c>
      <c r="I1414" s="4">
        <v>0</v>
      </c>
    </row>
    <row r="1415" spans="1:9" x14ac:dyDescent="0.2">
      <c r="A1415" s="2">
        <v>11</v>
      </c>
      <c r="B1415" s="1" t="s">
        <v>169</v>
      </c>
      <c r="C1415" s="4">
        <v>2</v>
      </c>
      <c r="D1415" s="8">
        <v>1.6</v>
      </c>
      <c r="E1415" s="4">
        <v>2</v>
      </c>
      <c r="F1415" s="8">
        <v>2.2000000000000002</v>
      </c>
      <c r="G1415" s="4">
        <v>0</v>
      </c>
      <c r="H1415" s="8">
        <v>0</v>
      </c>
      <c r="I1415" s="4">
        <v>0</v>
      </c>
    </row>
    <row r="1416" spans="1:9" x14ac:dyDescent="0.2">
      <c r="A1416" s="2">
        <v>11</v>
      </c>
      <c r="B1416" s="1" t="s">
        <v>171</v>
      </c>
      <c r="C1416" s="4">
        <v>2</v>
      </c>
      <c r="D1416" s="8">
        <v>1.6</v>
      </c>
      <c r="E1416" s="4">
        <v>1</v>
      </c>
      <c r="F1416" s="8">
        <v>1.1000000000000001</v>
      </c>
      <c r="G1416" s="4">
        <v>1</v>
      </c>
      <c r="H1416" s="8">
        <v>3.13</v>
      </c>
      <c r="I1416" s="4">
        <v>0</v>
      </c>
    </row>
    <row r="1417" spans="1:9" x14ac:dyDescent="0.2">
      <c r="A1417" s="1"/>
      <c r="C1417" s="4"/>
      <c r="D1417" s="8"/>
      <c r="E1417" s="4"/>
      <c r="F1417" s="8"/>
      <c r="G1417" s="4"/>
      <c r="H1417" s="8"/>
      <c r="I1417" s="4"/>
    </row>
    <row r="1418" spans="1:9" x14ac:dyDescent="0.2">
      <c r="A1418" s="1" t="s">
        <v>60</v>
      </c>
      <c r="C1418" s="4"/>
      <c r="D1418" s="8"/>
      <c r="E1418" s="4"/>
      <c r="F1418" s="8"/>
      <c r="G1418" s="4"/>
      <c r="H1418" s="8"/>
      <c r="I1418" s="4"/>
    </row>
    <row r="1419" spans="1:9" x14ac:dyDescent="0.2">
      <c r="A1419" s="2">
        <v>1</v>
      </c>
      <c r="B1419" s="1" t="s">
        <v>173</v>
      </c>
      <c r="C1419" s="4">
        <v>15</v>
      </c>
      <c r="D1419" s="8">
        <v>5.84</v>
      </c>
      <c r="E1419" s="4">
        <v>15</v>
      </c>
      <c r="F1419" s="8">
        <v>10.34</v>
      </c>
      <c r="G1419" s="4">
        <v>0</v>
      </c>
      <c r="H1419" s="8">
        <v>0</v>
      </c>
      <c r="I1419" s="4">
        <v>0</v>
      </c>
    </row>
    <row r="1420" spans="1:9" x14ac:dyDescent="0.2">
      <c r="A1420" s="2">
        <v>2</v>
      </c>
      <c r="B1420" s="1" t="s">
        <v>170</v>
      </c>
      <c r="C1420" s="4">
        <v>13</v>
      </c>
      <c r="D1420" s="8">
        <v>5.0599999999999996</v>
      </c>
      <c r="E1420" s="4">
        <v>13</v>
      </c>
      <c r="F1420" s="8">
        <v>8.9700000000000006</v>
      </c>
      <c r="G1420" s="4">
        <v>0</v>
      </c>
      <c r="H1420" s="8">
        <v>0</v>
      </c>
      <c r="I1420" s="4">
        <v>0</v>
      </c>
    </row>
    <row r="1421" spans="1:9" x14ac:dyDescent="0.2">
      <c r="A1421" s="2">
        <v>3</v>
      </c>
      <c r="B1421" s="1" t="s">
        <v>154</v>
      </c>
      <c r="C1421" s="4">
        <v>11</v>
      </c>
      <c r="D1421" s="8">
        <v>4.28</v>
      </c>
      <c r="E1421" s="4">
        <v>3</v>
      </c>
      <c r="F1421" s="8">
        <v>2.0699999999999998</v>
      </c>
      <c r="G1421" s="4">
        <v>8</v>
      </c>
      <c r="H1421" s="8">
        <v>7.48</v>
      </c>
      <c r="I1421" s="4">
        <v>0</v>
      </c>
    </row>
    <row r="1422" spans="1:9" x14ac:dyDescent="0.2">
      <c r="A1422" s="2">
        <v>4</v>
      </c>
      <c r="B1422" s="1" t="s">
        <v>186</v>
      </c>
      <c r="C1422" s="4">
        <v>9</v>
      </c>
      <c r="D1422" s="8">
        <v>3.5</v>
      </c>
      <c r="E1422" s="4">
        <v>8</v>
      </c>
      <c r="F1422" s="8">
        <v>5.52</v>
      </c>
      <c r="G1422" s="4">
        <v>1</v>
      </c>
      <c r="H1422" s="8">
        <v>0.93</v>
      </c>
      <c r="I1422" s="4">
        <v>0</v>
      </c>
    </row>
    <row r="1423" spans="1:9" x14ac:dyDescent="0.2">
      <c r="A1423" s="2">
        <v>4</v>
      </c>
      <c r="B1423" s="1" t="s">
        <v>159</v>
      </c>
      <c r="C1423" s="4">
        <v>9</v>
      </c>
      <c r="D1423" s="8">
        <v>3.5</v>
      </c>
      <c r="E1423" s="4">
        <v>9</v>
      </c>
      <c r="F1423" s="8">
        <v>6.21</v>
      </c>
      <c r="G1423" s="4">
        <v>0</v>
      </c>
      <c r="H1423" s="8">
        <v>0</v>
      </c>
      <c r="I1423" s="4">
        <v>0</v>
      </c>
    </row>
    <row r="1424" spans="1:9" x14ac:dyDescent="0.2">
      <c r="A1424" s="2">
        <v>6</v>
      </c>
      <c r="B1424" s="1" t="s">
        <v>171</v>
      </c>
      <c r="C1424" s="4">
        <v>8</v>
      </c>
      <c r="D1424" s="8">
        <v>3.11</v>
      </c>
      <c r="E1424" s="4">
        <v>8</v>
      </c>
      <c r="F1424" s="8">
        <v>5.52</v>
      </c>
      <c r="G1424" s="4">
        <v>0</v>
      </c>
      <c r="H1424" s="8">
        <v>0</v>
      </c>
      <c r="I1424" s="4">
        <v>0</v>
      </c>
    </row>
    <row r="1425" spans="1:9" x14ac:dyDescent="0.2">
      <c r="A1425" s="2">
        <v>7</v>
      </c>
      <c r="B1425" s="1" t="s">
        <v>156</v>
      </c>
      <c r="C1425" s="4">
        <v>7</v>
      </c>
      <c r="D1425" s="8">
        <v>2.72</v>
      </c>
      <c r="E1425" s="4">
        <v>2</v>
      </c>
      <c r="F1425" s="8">
        <v>1.38</v>
      </c>
      <c r="G1425" s="4">
        <v>5</v>
      </c>
      <c r="H1425" s="8">
        <v>4.67</v>
      </c>
      <c r="I1425" s="4">
        <v>0</v>
      </c>
    </row>
    <row r="1426" spans="1:9" x14ac:dyDescent="0.2">
      <c r="A1426" s="2">
        <v>8</v>
      </c>
      <c r="B1426" s="1" t="s">
        <v>185</v>
      </c>
      <c r="C1426" s="4">
        <v>6</v>
      </c>
      <c r="D1426" s="8">
        <v>2.33</v>
      </c>
      <c r="E1426" s="4">
        <v>2</v>
      </c>
      <c r="F1426" s="8">
        <v>1.38</v>
      </c>
      <c r="G1426" s="4">
        <v>4</v>
      </c>
      <c r="H1426" s="8">
        <v>3.74</v>
      </c>
      <c r="I1426" s="4">
        <v>0</v>
      </c>
    </row>
    <row r="1427" spans="1:9" x14ac:dyDescent="0.2">
      <c r="A1427" s="2">
        <v>8</v>
      </c>
      <c r="B1427" s="1" t="s">
        <v>181</v>
      </c>
      <c r="C1427" s="4">
        <v>6</v>
      </c>
      <c r="D1427" s="8">
        <v>2.33</v>
      </c>
      <c r="E1427" s="4">
        <v>5</v>
      </c>
      <c r="F1427" s="8">
        <v>3.45</v>
      </c>
      <c r="G1427" s="4">
        <v>1</v>
      </c>
      <c r="H1427" s="8">
        <v>0.93</v>
      </c>
      <c r="I1427" s="4">
        <v>0</v>
      </c>
    </row>
    <row r="1428" spans="1:9" x14ac:dyDescent="0.2">
      <c r="A1428" s="2">
        <v>8</v>
      </c>
      <c r="B1428" s="1" t="s">
        <v>172</v>
      </c>
      <c r="C1428" s="4">
        <v>6</v>
      </c>
      <c r="D1428" s="8">
        <v>2.33</v>
      </c>
      <c r="E1428" s="4">
        <v>4</v>
      </c>
      <c r="F1428" s="8">
        <v>2.76</v>
      </c>
      <c r="G1428" s="4">
        <v>2</v>
      </c>
      <c r="H1428" s="8">
        <v>1.87</v>
      </c>
      <c r="I1428" s="4">
        <v>0</v>
      </c>
    </row>
    <row r="1429" spans="1:9" x14ac:dyDescent="0.2">
      <c r="A1429" s="2">
        <v>11</v>
      </c>
      <c r="B1429" s="1" t="s">
        <v>155</v>
      </c>
      <c r="C1429" s="4">
        <v>5</v>
      </c>
      <c r="D1429" s="8">
        <v>1.95</v>
      </c>
      <c r="E1429" s="4">
        <v>0</v>
      </c>
      <c r="F1429" s="8">
        <v>0</v>
      </c>
      <c r="G1429" s="4">
        <v>5</v>
      </c>
      <c r="H1429" s="8">
        <v>4.67</v>
      </c>
      <c r="I1429" s="4">
        <v>0</v>
      </c>
    </row>
    <row r="1430" spans="1:9" x14ac:dyDescent="0.2">
      <c r="A1430" s="2">
        <v>11</v>
      </c>
      <c r="B1430" s="1" t="s">
        <v>224</v>
      </c>
      <c r="C1430" s="4">
        <v>5</v>
      </c>
      <c r="D1430" s="8">
        <v>1.95</v>
      </c>
      <c r="E1430" s="4">
        <v>1</v>
      </c>
      <c r="F1430" s="8">
        <v>0.69</v>
      </c>
      <c r="G1430" s="4">
        <v>4</v>
      </c>
      <c r="H1430" s="8">
        <v>3.74</v>
      </c>
      <c r="I1430" s="4">
        <v>0</v>
      </c>
    </row>
    <row r="1431" spans="1:9" x14ac:dyDescent="0.2">
      <c r="A1431" s="2">
        <v>11</v>
      </c>
      <c r="B1431" s="1" t="s">
        <v>182</v>
      </c>
      <c r="C1431" s="4">
        <v>5</v>
      </c>
      <c r="D1431" s="8">
        <v>1.95</v>
      </c>
      <c r="E1431" s="4">
        <v>2</v>
      </c>
      <c r="F1431" s="8">
        <v>1.38</v>
      </c>
      <c r="G1431" s="4">
        <v>3</v>
      </c>
      <c r="H1431" s="8">
        <v>2.8</v>
      </c>
      <c r="I1431" s="4">
        <v>0</v>
      </c>
    </row>
    <row r="1432" spans="1:9" x14ac:dyDescent="0.2">
      <c r="A1432" s="2">
        <v>11</v>
      </c>
      <c r="B1432" s="1" t="s">
        <v>169</v>
      </c>
      <c r="C1432" s="4">
        <v>5</v>
      </c>
      <c r="D1432" s="8">
        <v>1.95</v>
      </c>
      <c r="E1432" s="4">
        <v>4</v>
      </c>
      <c r="F1432" s="8">
        <v>2.76</v>
      </c>
      <c r="G1432" s="4">
        <v>1</v>
      </c>
      <c r="H1432" s="8">
        <v>0.93</v>
      </c>
      <c r="I1432" s="4">
        <v>0</v>
      </c>
    </row>
    <row r="1433" spans="1:9" x14ac:dyDescent="0.2">
      <c r="A1433" s="2">
        <v>15</v>
      </c>
      <c r="B1433" s="1" t="s">
        <v>174</v>
      </c>
      <c r="C1433" s="4">
        <v>4</v>
      </c>
      <c r="D1433" s="8">
        <v>1.56</v>
      </c>
      <c r="E1433" s="4">
        <v>2</v>
      </c>
      <c r="F1433" s="8">
        <v>1.38</v>
      </c>
      <c r="G1433" s="4">
        <v>2</v>
      </c>
      <c r="H1433" s="8">
        <v>1.87</v>
      </c>
      <c r="I1433" s="4">
        <v>0</v>
      </c>
    </row>
    <row r="1434" spans="1:9" x14ac:dyDescent="0.2">
      <c r="A1434" s="2">
        <v>15</v>
      </c>
      <c r="B1434" s="1" t="s">
        <v>160</v>
      </c>
      <c r="C1434" s="4">
        <v>4</v>
      </c>
      <c r="D1434" s="8">
        <v>1.56</v>
      </c>
      <c r="E1434" s="4">
        <v>1</v>
      </c>
      <c r="F1434" s="8">
        <v>0.69</v>
      </c>
      <c r="G1434" s="4">
        <v>3</v>
      </c>
      <c r="H1434" s="8">
        <v>2.8</v>
      </c>
      <c r="I1434" s="4">
        <v>0</v>
      </c>
    </row>
    <row r="1435" spans="1:9" x14ac:dyDescent="0.2">
      <c r="A1435" s="2">
        <v>15</v>
      </c>
      <c r="B1435" s="1" t="s">
        <v>167</v>
      </c>
      <c r="C1435" s="4">
        <v>4</v>
      </c>
      <c r="D1435" s="8">
        <v>1.56</v>
      </c>
      <c r="E1435" s="4">
        <v>4</v>
      </c>
      <c r="F1435" s="8">
        <v>2.76</v>
      </c>
      <c r="G1435" s="4">
        <v>0</v>
      </c>
      <c r="H1435" s="8">
        <v>0</v>
      </c>
      <c r="I1435" s="4">
        <v>0</v>
      </c>
    </row>
    <row r="1436" spans="1:9" x14ac:dyDescent="0.2">
      <c r="A1436" s="2">
        <v>15</v>
      </c>
      <c r="B1436" s="1" t="s">
        <v>222</v>
      </c>
      <c r="C1436" s="4">
        <v>4</v>
      </c>
      <c r="D1436" s="8">
        <v>1.56</v>
      </c>
      <c r="E1436" s="4">
        <v>4</v>
      </c>
      <c r="F1436" s="8">
        <v>2.76</v>
      </c>
      <c r="G1436" s="4">
        <v>0</v>
      </c>
      <c r="H1436" s="8">
        <v>0</v>
      </c>
      <c r="I1436" s="4">
        <v>0</v>
      </c>
    </row>
    <row r="1437" spans="1:9" x14ac:dyDescent="0.2">
      <c r="A1437" s="2">
        <v>15</v>
      </c>
      <c r="B1437" s="1" t="s">
        <v>263</v>
      </c>
      <c r="C1437" s="4">
        <v>4</v>
      </c>
      <c r="D1437" s="8">
        <v>1.56</v>
      </c>
      <c r="E1437" s="4">
        <v>0</v>
      </c>
      <c r="F1437" s="8">
        <v>0</v>
      </c>
      <c r="G1437" s="4">
        <v>0</v>
      </c>
      <c r="H1437" s="8">
        <v>0</v>
      </c>
      <c r="I1437" s="4">
        <v>4</v>
      </c>
    </row>
    <row r="1438" spans="1:9" x14ac:dyDescent="0.2">
      <c r="A1438" s="2">
        <v>20</v>
      </c>
      <c r="B1438" s="1" t="s">
        <v>233</v>
      </c>
      <c r="C1438" s="4">
        <v>3</v>
      </c>
      <c r="D1438" s="8">
        <v>1.17</v>
      </c>
      <c r="E1438" s="4">
        <v>0</v>
      </c>
      <c r="F1438" s="8">
        <v>0</v>
      </c>
      <c r="G1438" s="4">
        <v>3</v>
      </c>
      <c r="H1438" s="8">
        <v>2.8</v>
      </c>
      <c r="I1438" s="4">
        <v>0</v>
      </c>
    </row>
    <row r="1439" spans="1:9" x14ac:dyDescent="0.2">
      <c r="A1439" s="2">
        <v>20</v>
      </c>
      <c r="B1439" s="1" t="s">
        <v>249</v>
      </c>
      <c r="C1439" s="4">
        <v>3</v>
      </c>
      <c r="D1439" s="8">
        <v>1.17</v>
      </c>
      <c r="E1439" s="4">
        <v>1</v>
      </c>
      <c r="F1439" s="8">
        <v>0.69</v>
      </c>
      <c r="G1439" s="4">
        <v>2</v>
      </c>
      <c r="H1439" s="8">
        <v>1.87</v>
      </c>
      <c r="I1439" s="4">
        <v>0</v>
      </c>
    </row>
    <row r="1440" spans="1:9" x14ac:dyDescent="0.2">
      <c r="A1440" s="2">
        <v>20</v>
      </c>
      <c r="B1440" s="1" t="s">
        <v>180</v>
      </c>
      <c r="C1440" s="4">
        <v>3</v>
      </c>
      <c r="D1440" s="8">
        <v>1.17</v>
      </c>
      <c r="E1440" s="4">
        <v>0</v>
      </c>
      <c r="F1440" s="8">
        <v>0</v>
      </c>
      <c r="G1440" s="4">
        <v>3</v>
      </c>
      <c r="H1440" s="8">
        <v>2.8</v>
      </c>
      <c r="I1440" s="4">
        <v>0</v>
      </c>
    </row>
    <row r="1441" spans="1:9" x14ac:dyDescent="0.2">
      <c r="A1441" s="2">
        <v>20</v>
      </c>
      <c r="B1441" s="1" t="s">
        <v>251</v>
      </c>
      <c r="C1441" s="4">
        <v>3</v>
      </c>
      <c r="D1441" s="8">
        <v>1.17</v>
      </c>
      <c r="E1441" s="4">
        <v>1</v>
      </c>
      <c r="F1441" s="8">
        <v>0.69</v>
      </c>
      <c r="G1441" s="4">
        <v>2</v>
      </c>
      <c r="H1441" s="8">
        <v>1.87</v>
      </c>
      <c r="I1441" s="4">
        <v>0</v>
      </c>
    </row>
    <row r="1442" spans="1:9" x14ac:dyDescent="0.2">
      <c r="A1442" s="2">
        <v>20</v>
      </c>
      <c r="B1442" s="1" t="s">
        <v>184</v>
      </c>
      <c r="C1442" s="4">
        <v>3</v>
      </c>
      <c r="D1442" s="8">
        <v>1.17</v>
      </c>
      <c r="E1442" s="4">
        <v>1</v>
      </c>
      <c r="F1442" s="8">
        <v>0.69</v>
      </c>
      <c r="G1442" s="4">
        <v>2</v>
      </c>
      <c r="H1442" s="8">
        <v>1.87</v>
      </c>
      <c r="I1442" s="4">
        <v>0</v>
      </c>
    </row>
    <row r="1443" spans="1:9" x14ac:dyDescent="0.2">
      <c r="A1443" s="2">
        <v>20</v>
      </c>
      <c r="B1443" s="1" t="s">
        <v>261</v>
      </c>
      <c r="C1443" s="4">
        <v>3</v>
      </c>
      <c r="D1443" s="8">
        <v>1.17</v>
      </c>
      <c r="E1443" s="4">
        <v>0</v>
      </c>
      <c r="F1443" s="8">
        <v>0</v>
      </c>
      <c r="G1443" s="4">
        <v>3</v>
      </c>
      <c r="H1443" s="8">
        <v>2.8</v>
      </c>
      <c r="I1443" s="4">
        <v>0</v>
      </c>
    </row>
    <row r="1444" spans="1:9" x14ac:dyDescent="0.2">
      <c r="A1444" s="2">
        <v>20</v>
      </c>
      <c r="B1444" s="1" t="s">
        <v>262</v>
      </c>
      <c r="C1444" s="4">
        <v>3</v>
      </c>
      <c r="D1444" s="8">
        <v>1.17</v>
      </c>
      <c r="E1444" s="4">
        <v>2</v>
      </c>
      <c r="F1444" s="8">
        <v>1.38</v>
      </c>
      <c r="G1444" s="4">
        <v>1</v>
      </c>
      <c r="H1444" s="8">
        <v>0.93</v>
      </c>
      <c r="I1444" s="4">
        <v>0</v>
      </c>
    </row>
    <row r="1445" spans="1:9" x14ac:dyDescent="0.2">
      <c r="A1445" s="2">
        <v>20</v>
      </c>
      <c r="B1445" s="1" t="s">
        <v>158</v>
      </c>
      <c r="C1445" s="4">
        <v>3</v>
      </c>
      <c r="D1445" s="8">
        <v>1.17</v>
      </c>
      <c r="E1445" s="4">
        <v>3</v>
      </c>
      <c r="F1445" s="8">
        <v>2.0699999999999998</v>
      </c>
      <c r="G1445" s="4">
        <v>0</v>
      </c>
      <c r="H1445" s="8">
        <v>0</v>
      </c>
      <c r="I1445" s="4">
        <v>0</v>
      </c>
    </row>
    <row r="1446" spans="1:9" x14ac:dyDescent="0.2">
      <c r="A1446" s="2">
        <v>20</v>
      </c>
      <c r="B1446" s="1" t="s">
        <v>161</v>
      </c>
      <c r="C1446" s="4">
        <v>3</v>
      </c>
      <c r="D1446" s="8">
        <v>1.17</v>
      </c>
      <c r="E1446" s="4">
        <v>3</v>
      </c>
      <c r="F1446" s="8">
        <v>2.0699999999999998</v>
      </c>
      <c r="G1446" s="4">
        <v>0</v>
      </c>
      <c r="H1446" s="8">
        <v>0</v>
      </c>
      <c r="I1446" s="4">
        <v>0</v>
      </c>
    </row>
    <row r="1447" spans="1:9" x14ac:dyDescent="0.2">
      <c r="A1447" s="2">
        <v>20</v>
      </c>
      <c r="B1447" s="1" t="s">
        <v>164</v>
      </c>
      <c r="C1447" s="4">
        <v>3</v>
      </c>
      <c r="D1447" s="8">
        <v>1.17</v>
      </c>
      <c r="E1447" s="4">
        <v>1</v>
      </c>
      <c r="F1447" s="8">
        <v>0.69</v>
      </c>
      <c r="G1447" s="4">
        <v>2</v>
      </c>
      <c r="H1447" s="8">
        <v>1.87</v>
      </c>
      <c r="I1447" s="4">
        <v>0</v>
      </c>
    </row>
    <row r="1448" spans="1:9" x14ac:dyDescent="0.2">
      <c r="A1448" s="2">
        <v>20</v>
      </c>
      <c r="B1448" s="1" t="s">
        <v>201</v>
      </c>
      <c r="C1448" s="4">
        <v>3</v>
      </c>
      <c r="D1448" s="8">
        <v>1.17</v>
      </c>
      <c r="E1448" s="4">
        <v>3</v>
      </c>
      <c r="F1448" s="8">
        <v>2.0699999999999998</v>
      </c>
      <c r="G1448" s="4">
        <v>0</v>
      </c>
      <c r="H1448" s="8">
        <v>0</v>
      </c>
      <c r="I1448" s="4">
        <v>0</v>
      </c>
    </row>
    <row r="1449" spans="1:9" x14ac:dyDescent="0.2">
      <c r="A1449" s="2">
        <v>20</v>
      </c>
      <c r="B1449" s="1" t="s">
        <v>183</v>
      </c>
      <c r="C1449" s="4">
        <v>3</v>
      </c>
      <c r="D1449" s="8">
        <v>1.17</v>
      </c>
      <c r="E1449" s="4">
        <v>3</v>
      </c>
      <c r="F1449" s="8">
        <v>2.0699999999999998</v>
      </c>
      <c r="G1449" s="4">
        <v>0</v>
      </c>
      <c r="H1449" s="8">
        <v>0</v>
      </c>
      <c r="I1449" s="4">
        <v>0</v>
      </c>
    </row>
    <row r="1450" spans="1:9" x14ac:dyDescent="0.2">
      <c r="A1450" s="2">
        <v>20</v>
      </c>
      <c r="B1450" s="1" t="s">
        <v>226</v>
      </c>
      <c r="C1450" s="4">
        <v>3</v>
      </c>
      <c r="D1450" s="8">
        <v>1.17</v>
      </c>
      <c r="E1450" s="4">
        <v>0</v>
      </c>
      <c r="F1450" s="8">
        <v>0</v>
      </c>
      <c r="G1450" s="4">
        <v>2</v>
      </c>
      <c r="H1450" s="8">
        <v>1.87</v>
      </c>
      <c r="I1450" s="4">
        <v>0</v>
      </c>
    </row>
    <row r="1451" spans="1:9" x14ac:dyDescent="0.2">
      <c r="A1451" s="2">
        <v>20</v>
      </c>
      <c r="B1451" s="1" t="s">
        <v>204</v>
      </c>
      <c r="C1451" s="4">
        <v>3</v>
      </c>
      <c r="D1451" s="8">
        <v>1.17</v>
      </c>
      <c r="E1451" s="4">
        <v>0</v>
      </c>
      <c r="F1451" s="8">
        <v>0</v>
      </c>
      <c r="G1451" s="4">
        <v>3</v>
      </c>
      <c r="H1451" s="8">
        <v>2.8</v>
      </c>
      <c r="I1451" s="4">
        <v>0</v>
      </c>
    </row>
    <row r="1452" spans="1:9" x14ac:dyDescent="0.2">
      <c r="A1452" s="1"/>
      <c r="C1452" s="4"/>
      <c r="D1452" s="8"/>
      <c r="E1452" s="4"/>
      <c r="F1452" s="8"/>
      <c r="G1452" s="4"/>
      <c r="H1452" s="8"/>
      <c r="I1452" s="4"/>
    </row>
    <row r="1453" spans="1:9" x14ac:dyDescent="0.2">
      <c r="A1453" s="1" t="s">
        <v>61</v>
      </c>
      <c r="C1453" s="4"/>
      <c r="D1453" s="8"/>
      <c r="E1453" s="4"/>
      <c r="F1453" s="8"/>
      <c r="G1453" s="4"/>
      <c r="H1453" s="8"/>
      <c r="I1453" s="4"/>
    </row>
    <row r="1454" spans="1:9" x14ac:dyDescent="0.2">
      <c r="A1454" s="2">
        <v>1</v>
      </c>
      <c r="B1454" s="1" t="s">
        <v>164</v>
      </c>
      <c r="C1454" s="4">
        <v>21</v>
      </c>
      <c r="D1454" s="8">
        <v>6.67</v>
      </c>
      <c r="E1454" s="4">
        <v>16</v>
      </c>
      <c r="F1454" s="8">
        <v>7.69</v>
      </c>
      <c r="G1454" s="4">
        <v>5</v>
      </c>
      <c r="H1454" s="8">
        <v>4.9000000000000004</v>
      </c>
      <c r="I1454" s="4">
        <v>0</v>
      </c>
    </row>
    <row r="1455" spans="1:9" x14ac:dyDescent="0.2">
      <c r="A1455" s="2">
        <v>2</v>
      </c>
      <c r="B1455" s="1" t="s">
        <v>159</v>
      </c>
      <c r="C1455" s="4">
        <v>16</v>
      </c>
      <c r="D1455" s="8">
        <v>5.08</v>
      </c>
      <c r="E1455" s="4">
        <v>14</v>
      </c>
      <c r="F1455" s="8">
        <v>6.73</v>
      </c>
      <c r="G1455" s="4">
        <v>2</v>
      </c>
      <c r="H1455" s="8">
        <v>1.96</v>
      </c>
      <c r="I1455" s="4">
        <v>0</v>
      </c>
    </row>
    <row r="1456" spans="1:9" x14ac:dyDescent="0.2">
      <c r="A1456" s="2">
        <v>3</v>
      </c>
      <c r="B1456" s="1" t="s">
        <v>210</v>
      </c>
      <c r="C1456" s="4">
        <v>14</v>
      </c>
      <c r="D1456" s="8">
        <v>4.4400000000000004</v>
      </c>
      <c r="E1456" s="4">
        <v>13</v>
      </c>
      <c r="F1456" s="8">
        <v>6.25</v>
      </c>
      <c r="G1456" s="4">
        <v>1</v>
      </c>
      <c r="H1456" s="8">
        <v>0.98</v>
      </c>
      <c r="I1456" s="4">
        <v>0</v>
      </c>
    </row>
    <row r="1457" spans="1:9" x14ac:dyDescent="0.2">
      <c r="A1457" s="2">
        <v>4</v>
      </c>
      <c r="B1457" s="1" t="s">
        <v>169</v>
      </c>
      <c r="C1457" s="4">
        <v>12</v>
      </c>
      <c r="D1457" s="8">
        <v>3.81</v>
      </c>
      <c r="E1457" s="4">
        <v>11</v>
      </c>
      <c r="F1457" s="8">
        <v>5.29</v>
      </c>
      <c r="G1457" s="4">
        <v>1</v>
      </c>
      <c r="H1457" s="8">
        <v>0.98</v>
      </c>
      <c r="I1457" s="4">
        <v>0</v>
      </c>
    </row>
    <row r="1458" spans="1:9" x14ac:dyDescent="0.2">
      <c r="A1458" s="2">
        <v>4</v>
      </c>
      <c r="B1458" s="1" t="s">
        <v>170</v>
      </c>
      <c r="C1458" s="4">
        <v>12</v>
      </c>
      <c r="D1458" s="8">
        <v>3.81</v>
      </c>
      <c r="E1458" s="4">
        <v>11</v>
      </c>
      <c r="F1458" s="8">
        <v>5.29</v>
      </c>
      <c r="G1458" s="4">
        <v>1</v>
      </c>
      <c r="H1458" s="8">
        <v>0.98</v>
      </c>
      <c r="I1458" s="4">
        <v>0</v>
      </c>
    </row>
    <row r="1459" spans="1:9" x14ac:dyDescent="0.2">
      <c r="A1459" s="2">
        <v>6</v>
      </c>
      <c r="B1459" s="1" t="s">
        <v>160</v>
      </c>
      <c r="C1459" s="4">
        <v>11</v>
      </c>
      <c r="D1459" s="8">
        <v>3.49</v>
      </c>
      <c r="E1459" s="4">
        <v>6</v>
      </c>
      <c r="F1459" s="8">
        <v>2.88</v>
      </c>
      <c r="G1459" s="4">
        <v>5</v>
      </c>
      <c r="H1459" s="8">
        <v>4.9000000000000004</v>
      </c>
      <c r="I1459" s="4">
        <v>0</v>
      </c>
    </row>
    <row r="1460" spans="1:9" x14ac:dyDescent="0.2">
      <c r="A1460" s="2">
        <v>6</v>
      </c>
      <c r="B1460" s="1" t="s">
        <v>171</v>
      </c>
      <c r="C1460" s="4">
        <v>11</v>
      </c>
      <c r="D1460" s="8">
        <v>3.49</v>
      </c>
      <c r="E1460" s="4">
        <v>8</v>
      </c>
      <c r="F1460" s="8">
        <v>3.85</v>
      </c>
      <c r="G1460" s="4">
        <v>3</v>
      </c>
      <c r="H1460" s="8">
        <v>2.94</v>
      </c>
      <c r="I1460" s="4">
        <v>0</v>
      </c>
    </row>
    <row r="1461" spans="1:9" x14ac:dyDescent="0.2">
      <c r="A1461" s="2">
        <v>8</v>
      </c>
      <c r="B1461" s="1" t="s">
        <v>209</v>
      </c>
      <c r="C1461" s="4">
        <v>9</v>
      </c>
      <c r="D1461" s="8">
        <v>2.86</v>
      </c>
      <c r="E1461" s="4">
        <v>5</v>
      </c>
      <c r="F1461" s="8">
        <v>2.4</v>
      </c>
      <c r="G1461" s="4">
        <v>4</v>
      </c>
      <c r="H1461" s="8">
        <v>3.92</v>
      </c>
      <c r="I1461" s="4">
        <v>0</v>
      </c>
    </row>
    <row r="1462" spans="1:9" x14ac:dyDescent="0.2">
      <c r="A1462" s="2">
        <v>9</v>
      </c>
      <c r="B1462" s="1" t="s">
        <v>186</v>
      </c>
      <c r="C1462" s="4">
        <v>8</v>
      </c>
      <c r="D1462" s="8">
        <v>2.54</v>
      </c>
      <c r="E1462" s="4">
        <v>7</v>
      </c>
      <c r="F1462" s="8">
        <v>3.37</v>
      </c>
      <c r="G1462" s="4">
        <v>1</v>
      </c>
      <c r="H1462" s="8">
        <v>0.98</v>
      </c>
      <c r="I1462" s="4">
        <v>0</v>
      </c>
    </row>
    <row r="1463" spans="1:9" x14ac:dyDescent="0.2">
      <c r="A1463" s="2">
        <v>9</v>
      </c>
      <c r="B1463" s="1" t="s">
        <v>172</v>
      </c>
      <c r="C1463" s="4">
        <v>8</v>
      </c>
      <c r="D1463" s="8">
        <v>2.54</v>
      </c>
      <c r="E1463" s="4">
        <v>8</v>
      </c>
      <c r="F1463" s="8">
        <v>3.85</v>
      </c>
      <c r="G1463" s="4">
        <v>0</v>
      </c>
      <c r="H1463" s="8">
        <v>0</v>
      </c>
      <c r="I1463" s="4">
        <v>0</v>
      </c>
    </row>
    <row r="1464" spans="1:9" x14ac:dyDescent="0.2">
      <c r="A1464" s="2">
        <v>9</v>
      </c>
      <c r="B1464" s="1" t="s">
        <v>173</v>
      </c>
      <c r="C1464" s="4">
        <v>8</v>
      </c>
      <c r="D1464" s="8">
        <v>2.54</v>
      </c>
      <c r="E1464" s="4">
        <v>8</v>
      </c>
      <c r="F1464" s="8">
        <v>3.85</v>
      </c>
      <c r="G1464" s="4">
        <v>0</v>
      </c>
      <c r="H1464" s="8">
        <v>0</v>
      </c>
      <c r="I1464" s="4">
        <v>0</v>
      </c>
    </row>
    <row r="1465" spans="1:9" x14ac:dyDescent="0.2">
      <c r="A1465" s="2">
        <v>12</v>
      </c>
      <c r="B1465" s="1" t="s">
        <v>154</v>
      </c>
      <c r="C1465" s="4">
        <v>7</v>
      </c>
      <c r="D1465" s="8">
        <v>2.2200000000000002</v>
      </c>
      <c r="E1465" s="4">
        <v>1</v>
      </c>
      <c r="F1465" s="8">
        <v>0.48</v>
      </c>
      <c r="G1465" s="4">
        <v>6</v>
      </c>
      <c r="H1465" s="8">
        <v>5.88</v>
      </c>
      <c r="I1465" s="4">
        <v>0</v>
      </c>
    </row>
    <row r="1466" spans="1:9" x14ac:dyDescent="0.2">
      <c r="A1466" s="2">
        <v>12</v>
      </c>
      <c r="B1466" s="1" t="s">
        <v>166</v>
      </c>
      <c r="C1466" s="4">
        <v>7</v>
      </c>
      <c r="D1466" s="8">
        <v>2.2200000000000002</v>
      </c>
      <c r="E1466" s="4">
        <v>5</v>
      </c>
      <c r="F1466" s="8">
        <v>2.4</v>
      </c>
      <c r="G1466" s="4">
        <v>2</v>
      </c>
      <c r="H1466" s="8">
        <v>1.96</v>
      </c>
      <c r="I1466" s="4">
        <v>0</v>
      </c>
    </row>
    <row r="1467" spans="1:9" x14ac:dyDescent="0.2">
      <c r="A1467" s="2">
        <v>14</v>
      </c>
      <c r="B1467" s="1" t="s">
        <v>158</v>
      </c>
      <c r="C1467" s="4">
        <v>6</v>
      </c>
      <c r="D1467" s="8">
        <v>1.9</v>
      </c>
      <c r="E1467" s="4">
        <v>5</v>
      </c>
      <c r="F1467" s="8">
        <v>2.4</v>
      </c>
      <c r="G1467" s="4">
        <v>1</v>
      </c>
      <c r="H1467" s="8">
        <v>0.98</v>
      </c>
      <c r="I1467" s="4">
        <v>0</v>
      </c>
    </row>
    <row r="1468" spans="1:9" x14ac:dyDescent="0.2">
      <c r="A1468" s="2">
        <v>15</v>
      </c>
      <c r="B1468" s="1" t="s">
        <v>264</v>
      </c>
      <c r="C1468" s="4">
        <v>5</v>
      </c>
      <c r="D1468" s="8">
        <v>1.59</v>
      </c>
      <c r="E1468" s="4">
        <v>4</v>
      </c>
      <c r="F1468" s="8">
        <v>1.92</v>
      </c>
      <c r="G1468" s="4">
        <v>1</v>
      </c>
      <c r="H1468" s="8">
        <v>0.98</v>
      </c>
      <c r="I1468" s="4">
        <v>0</v>
      </c>
    </row>
    <row r="1469" spans="1:9" x14ac:dyDescent="0.2">
      <c r="A1469" s="2">
        <v>15</v>
      </c>
      <c r="B1469" s="1" t="s">
        <v>205</v>
      </c>
      <c r="C1469" s="4">
        <v>5</v>
      </c>
      <c r="D1469" s="8">
        <v>1.59</v>
      </c>
      <c r="E1469" s="4">
        <v>4</v>
      </c>
      <c r="F1469" s="8">
        <v>1.92</v>
      </c>
      <c r="G1469" s="4">
        <v>1</v>
      </c>
      <c r="H1469" s="8">
        <v>0.98</v>
      </c>
      <c r="I1469" s="4">
        <v>0</v>
      </c>
    </row>
    <row r="1470" spans="1:9" x14ac:dyDescent="0.2">
      <c r="A1470" s="2">
        <v>17</v>
      </c>
      <c r="B1470" s="1" t="s">
        <v>156</v>
      </c>
      <c r="C1470" s="4">
        <v>4</v>
      </c>
      <c r="D1470" s="8">
        <v>1.27</v>
      </c>
      <c r="E1470" s="4">
        <v>3</v>
      </c>
      <c r="F1470" s="8">
        <v>1.44</v>
      </c>
      <c r="G1470" s="4">
        <v>1</v>
      </c>
      <c r="H1470" s="8">
        <v>0.98</v>
      </c>
      <c r="I1470" s="4">
        <v>0</v>
      </c>
    </row>
    <row r="1471" spans="1:9" x14ac:dyDescent="0.2">
      <c r="A1471" s="2">
        <v>17</v>
      </c>
      <c r="B1471" s="1" t="s">
        <v>213</v>
      </c>
      <c r="C1471" s="4">
        <v>4</v>
      </c>
      <c r="D1471" s="8">
        <v>1.27</v>
      </c>
      <c r="E1471" s="4">
        <v>1</v>
      </c>
      <c r="F1471" s="8">
        <v>0.48</v>
      </c>
      <c r="G1471" s="4">
        <v>3</v>
      </c>
      <c r="H1471" s="8">
        <v>2.94</v>
      </c>
      <c r="I1471" s="4">
        <v>0</v>
      </c>
    </row>
    <row r="1472" spans="1:9" x14ac:dyDescent="0.2">
      <c r="A1472" s="2">
        <v>17</v>
      </c>
      <c r="B1472" s="1" t="s">
        <v>180</v>
      </c>
      <c r="C1472" s="4">
        <v>4</v>
      </c>
      <c r="D1472" s="8">
        <v>1.27</v>
      </c>
      <c r="E1472" s="4">
        <v>1</v>
      </c>
      <c r="F1472" s="8">
        <v>0.48</v>
      </c>
      <c r="G1472" s="4">
        <v>3</v>
      </c>
      <c r="H1472" s="8">
        <v>2.94</v>
      </c>
      <c r="I1472" s="4">
        <v>0</v>
      </c>
    </row>
    <row r="1473" spans="1:9" x14ac:dyDescent="0.2">
      <c r="A1473" s="2">
        <v>17</v>
      </c>
      <c r="B1473" s="1" t="s">
        <v>206</v>
      </c>
      <c r="C1473" s="4">
        <v>4</v>
      </c>
      <c r="D1473" s="8">
        <v>1.27</v>
      </c>
      <c r="E1473" s="4">
        <v>2</v>
      </c>
      <c r="F1473" s="8">
        <v>0.96</v>
      </c>
      <c r="G1473" s="4">
        <v>2</v>
      </c>
      <c r="H1473" s="8">
        <v>1.96</v>
      </c>
      <c r="I1473" s="4">
        <v>0</v>
      </c>
    </row>
    <row r="1474" spans="1:9" x14ac:dyDescent="0.2">
      <c r="A1474" s="2">
        <v>17</v>
      </c>
      <c r="B1474" s="1" t="s">
        <v>251</v>
      </c>
      <c r="C1474" s="4">
        <v>4</v>
      </c>
      <c r="D1474" s="8">
        <v>1.27</v>
      </c>
      <c r="E1474" s="4">
        <v>1</v>
      </c>
      <c r="F1474" s="8">
        <v>0.48</v>
      </c>
      <c r="G1474" s="4">
        <v>3</v>
      </c>
      <c r="H1474" s="8">
        <v>2.94</v>
      </c>
      <c r="I1474" s="4">
        <v>0</v>
      </c>
    </row>
    <row r="1475" spans="1:9" x14ac:dyDescent="0.2">
      <c r="A1475" s="2">
        <v>17</v>
      </c>
      <c r="B1475" s="1" t="s">
        <v>217</v>
      </c>
      <c r="C1475" s="4">
        <v>4</v>
      </c>
      <c r="D1475" s="8">
        <v>1.27</v>
      </c>
      <c r="E1475" s="4">
        <v>1</v>
      </c>
      <c r="F1475" s="8">
        <v>0.48</v>
      </c>
      <c r="G1475" s="4">
        <v>3</v>
      </c>
      <c r="H1475" s="8">
        <v>2.94</v>
      </c>
      <c r="I1475" s="4">
        <v>0</v>
      </c>
    </row>
    <row r="1476" spans="1:9" x14ac:dyDescent="0.2">
      <c r="A1476" s="2">
        <v>17</v>
      </c>
      <c r="B1476" s="1" t="s">
        <v>157</v>
      </c>
      <c r="C1476" s="4">
        <v>4</v>
      </c>
      <c r="D1476" s="8">
        <v>1.27</v>
      </c>
      <c r="E1476" s="4">
        <v>3</v>
      </c>
      <c r="F1476" s="8">
        <v>1.44</v>
      </c>
      <c r="G1476" s="4">
        <v>1</v>
      </c>
      <c r="H1476" s="8">
        <v>0.98</v>
      </c>
      <c r="I1476" s="4">
        <v>0</v>
      </c>
    </row>
    <row r="1477" spans="1:9" x14ac:dyDescent="0.2">
      <c r="A1477" s="2">
        <v>17</v>
      </c>
      <c r="B1477" s="1" t="s">
        <v>208</v>
      </c>
      <c r="C1477" s="4">
        <v>4</v>
      </c>
      <c r="D1477" s="8">
        <v>1.27</v>
      </c>
      <c r="E1477" s="4">
        <v>3</v>
      </c>
      <c r="F1477" s="8">
        <v>1.44</v>
      </c>
      <c r="G1477" s="4">
        <v>1</v>
      </c>
      <c r="H1477" s="8">
        <v>0.98</v>
      </c>
      <c r="I1477" s="4">
        <v>0</v>
      </c>
    </row>
    <row r="1478" spans="1:9" x14ac:dyDescent="0.2">
      <c r="A1478" s="2">
        <v>17</v>
      </c>
      <c r="B1478" s="1" t="s">
        <v>162</v>
      </c>
      <c r="C1478" s="4">
        <v>4</v>
      </c>
      <c r="D1478" s="8">
        <v>1.27</v>
      </c>
      <c r="E1478" s="4">
        <v>1</v>
      </c>
      <c r="F1478" s="8">
        <v>0.48</v>
      </c>
      <c r="G1478" s="4">
        <v>3</v>
      </c>
      <c r="H1478" s="8">
        <v>2.94</v>
      </c>
      <c r="I1478" s="4">
        <v>0</v>
      </c>
    </row>
    <row r="1479" spans="1:9" x14ac:dyDescent="0.2">
      <c r="A1479" s="1"/>
      <c r="C1479" s="4"/>
      <c r="D1479" s="8"/>
      <c r="E1479" s="4"/>
      <c r="F1479" s="8"/>
      <c r="G1479" s="4"/>
      <c r="H1479" s="8"/>
      <c r="I1479" s="4"/>
    </row>
    <row r="1480" spans="1:9" x14ac:dyDescent="0.2">
      <c r="A1480" s="1" t="s">
        <v>62</v>
      </c>
      <c r="C1480" s="4"/>
      <c r="D1480" s="8"/>
      <c r="E1480" s="4"/>
      <c r="F1480" s="8"/>
      <c r="G1480" s="4"/>
      <c r="H1480" s="8"/>
      <c r="I1480" s="4"/>
    </row>
    <row r="1481" spans="1:9" x14ac:dyDescent="0.2">
      <c r="A1481" s="2">
        <v>1</v>
      </c>
      <c r="B1481" s="1" t="s">
        <v>173</v>
      </c>
      <c r="C1481" s="4">
        <v>24</v>
      </c>
      <c r="D1481" s="8">
        <v>5.63</v>
      </c>
      <c r="E1481" s="4">
        <v>21</v>
      </c>
      <c r="F1481" s="8">
        <v>8.02</v>
      </c>
      <c r="G1481" s="4">
        <v>3</v>
      </c>
      <c r="H1481" s="8">
        <v>1.88</v>
      </c>
      <c r="I1481" s="4">
        <v>0</v>
      </c>
    </row>
    <row r="1482" spans="1:9" x14ac:dyDescent="0.2">
      <c r="A1482" s="2">
        <v>2</v>
      </c>
      <c r="B1482" s="1" t="s">
        <v>170</v>
      </c>
      <c r="C1482" s="4">
        <v>23</v>
      </c>
      <c r="D1482" s="8">
        <v>5.4</v>
      </c>
      <c r="E1482" s="4">
        <v>22</v>
      </c>
      <c r="F1482" s="8">
        <v>8.4</v>
      </c>
      <c r="G1482" s="4">
        <v>1</v>
      </c>
      <c r="H1482" s="8">
        <v>0.63</v>
      </c>
      <c r="I1482" s="4">
        <v>0</v>
      </c>
    </row>
    <row r="1483" spans="1:9" x14ac:dyDescent="0.2">
      <c r="A1483" s="2">
        <v>3</v>
      </c>
      <c r="B1483" s="1" t="s">
        <v>159</v>
      </c>
      <c r="C1483" s="4">
        <v>15</v>
      </c>
      <c r="D1483" s="8">
        <v>3.52</v>
      </c>
      <c r="E1483" s="4">
        <v>10</v>
      </c>
      <c r="F1483" s="8">
        <v>3.82</v>
      </c>
      <c r="G1483" s="4">
        <v>5</v>
      </c>
      <c r="H1483" s="8">
        <v>3.13</v>
      </c>
      <c r="I1483" s="4">
        <v>0</v>
      </c>
    </row>
    <row r="1484" spans="1:9" x14ac:dyDescent="0.2">
      <c r="A1484" s="2">
        <v>4</v>
      </c>
      <c r="B1484" s="1" t="s">
        <v>169</v>
      </c>
      <c r="C1484" s="4">
        <v>13</v>
      </c>
      <c r="D1484" s="8">
        <v>3.05</v>
      </c>
      <c r="E1484" s="4">
        <v>13</v>
      </c>
      <c r="F1484" s="8">
        <v>4.96</v>
      </c>
      <c r="G1484" s="4">
        <v>0</v>
      </c>
      <c r="H1484" s="8">
        <v>0</v>
      </c>
      <c r="I1484" s="4">
        <v>0</v>
      </c>
    </row>
    <row r="1485" spans="1:9" x14ac:dyDescent="0.2">
      <c r="A1485" s="2">
        <v>5</v>
      </c>
      <c r="B1485" s="1" t="s">
        <v>164</v>
      </c>
      <c r="C1485" s="4">
        <v>12</v>
      </c>
      <c r="D1485" s="8">
        <v>2.82</v>
      </c>
      <c r="E1485" s="4">
        <v>7</v>
      </c>
      <c r="F1485" s="8">
        <v>2.67</v>
      </c>
      <c r="G1485" s="4">
        <v>5</v>
      </c>
      <c r="H1485" s="8">
        <v>3.13</v>
      </c>
      <c r="I1485" s="4">
        <v>0</v>
      </c>
    </row>
    <row r="1486" spans="1:9" x14ac:dyDescent="0.2">
      <c r="A1486" s="2">
        <v>5</v>
      </c>
      <c r="B1486" s="1" t="s">
        <v>172</v>
      </c>
      <c r="C1486" s="4">
        <v>12</v>
      </c>
      <c r="D1486" s="8">
        <v>2.82</v>
      </c>
      <c r="E1486" s="4">
        <v>10</v>
      </c>
      <c r="F1486" s="8">
        <v>3.82</v>
      </c>
      <c r="G1486" s="4">
        <v>2</v>
      </c>
      <c r="H1486" s="8">
        <v>1.25</v>
      </c>
      <c r="I1486" s="4">
        <v>0</v>
      </c>
    </row>
    <row r="1487" spans="1:9" x14ac:dyDescent="0.2">
      <c r="A1487" s="2">
        <v>7</v>
      </c>
      <c r="B1487" s="1" t="s">
        <v>160</v>
      </c>
      <c r="C1487" s="4">
        <v>11</v>
      </c>
      <c r="D1487" s="8">
        <v>2.58</v>
      </c>
      <c r="E1487" s="4">
        <v>7</v>
      </c>
      <c r="F1487" s="8">
        <v>2.67</v>
      </c>
      <c r="G1487" s="4">
        <v>4</v>
      </c>
      <c r="H1487" s="8">
        <v>2.5</v>
      </c>
      <c r="I1487" s="4">
        <v>0</v>
      </c>
    </row>
    <row r="1488" spans="1:9" x14ac:dyDescent="0.2">
      <c r="A1488" s="2">
        <v>8</v>
      </c>
      <c r="B1488" s="1" t="s">
        <v>186</v>
      </c>
      <c r="C1488" s="4">
        <v>9</v>
      </c>
      <c r="D1488" s="8">
        <v>2.11</v>
      </c>
      <c r="E1488" s="4">
        <v>5</v>
      </c>
      <c r="F1488" s="8">
        <v>1.91</v>
      </c>
      <c r="G1488" s="4">
        <v>4</v>
      </c>
      <c r="H1488" s="8">
        <v>2.5</v>
      </c>
      <c r="I1488" s="4">
        <v>0</v>
      </c>
    </row>
    <row r="1489" spans="1:9" x14ac:dyDescent="0.2">
      <c r="A1489" s="2">
        <v>8</v>
      </c>
      <c r="B1489" s="1" t="s">
        <v>158</v>
      </c>
      <c r="C1489" s="4">
        <v>9</v>
      </c>
      <c r="D1489" s="8">
        <v>2.11</v>
      </c>
      <c r="E1489" s="4">
        <v>7</v>
      </c>
      <c r="F1489" s="8">
        <v>2.67</v>
      </c>
      <c r="G1489" s="4">
        <v>2</v>
      </c>
      <c r="H1489" s="8">
        <v>1.25</v>
      </c>
      <c r="I1489" s="4">
        <v>0</v>
      </c>
    </row>
    <row r="1490" spans="1:9" x14ac:dyDescent="0.2">
      <c r="A1490" s="2">
        <v>8</v>
      </c>
      <c r="B1490" s="1" t="s">
        <v>161</v>
      </c>
      <c r="C1490" s="4">
        <v>9</v>
      </c>
      <c r="D1490" s="8">
        <v>2.11</v>
      </c>
      <c r="E1490" s="4">
        <v>9</v>
      </c>
      <c r="F1490" s="8">
        <v>3.44</v>
      </c>
      <c r="G1490" s="4">
        <v>0</v>
      </c>
      <c r="H1490" s="8">
        <v>0</v>
      </c>
      <c r="I1490" s="4">
        <v>0</v>
      </c>
    </row>
    <row r="1491" spans="1:9" x14ac:dyDescent="0.2">
      <c r="A1491" s="2">
        <v>8</v>
      </c>
      <c r="B1491" s="1" t="s">
        <v>166</v>
      </c>
      <c r="C1491" s="4">
        <v>9</v>
      </c>
      <c r="D1491" s="8">
        <v>2.11</v>
      </c>
      <c r="E1491" s="4">
        <v>7</v>
      </c>
      <c r="F1491" s="8">
        <v>2.67</v>
      </c>
      <c r="G1491" s="4">
        <v>2</v>
      </c>
      <c r="H1491" s="8">
        <v>1.25</v>
      </c>
      <c r="I1491" s="4">
        <v>0</v>
      </c>
    </row>
    <row r="1492" spans="1:9" x14ac:dyDescent="0.2">
      <c r="A1492" s="2">
        <v>8</v>
      </c>
      <c r="B1492" s="1" t="s">
        <v>167</v>
      </c>
      <c r="C1492" s="4">
        <v>9</v>
      </c>
      <c r="D1492" s="8">
        <v>2.11</v>
      </c>
      <c r="E1492" s="4">
        <v>9</v>
      </c>
      <c r="F1492" s="8">
        <v>3.44</v>
      </c>
      <c r="G1492" s="4">
        <v>0</v>
      </c>
      <c r="H1492" s="8">
        <v>0</v>
      </c>
      <c r="I1492" s="4">
        <v>0</v>
      </c>
    </row>
    <row r="1493" spans="1:9" x14ac:dyDescent="0.2">
      <c r="A1493" s="2">
        <v>13</v>
      </c>
      <c r="B1493" s="1" t="s">
        <v>265</v>
      </c>
      <c r="C1493" s="4">
        <v>8</v>
      </c>
      <c r="D1493" s="8">
        <v>1.88</v>
      </c>
      <c r="E1493" s="4">
        <v>6</v>
      </c>
      <c r="F1493" s="8">
        <v>2.29</v>
      </c>
      <c r="G1493" s="4">
        <v>2</v>
      </c>
      <c r="H1493" s="8">
        <v>1.25</v>
      </c>
      <c r="I1493" s="4">
        <v>0</v>
      </c>
    </row>
    <row r="1494" spans="1:9" x14ac:dyDescent="0.2">
      <c r="A1494" s="2">
        <v>14</v>
      </c>
      <c r="B1494" s="1" t="s">
        <v>165</v>
      </c>
      <c r="C1494" s="4">
        <v>7</v>
      </c>
      <c r="D1494" s="8">
        <v>1.64</v>
      </c>
      <c r="E1494" s="4">
        <v>2</v>
      </c>
      <c r="F1494" s="8">
        <v>0.76</v>
      </c>
      <c r="G1494" s="4">
        <v>5</v>
      </c>
      <c r="H1494" s="8">
        <v>3.13</v>
      </c>
      <c r="I1494" s="4">
        <v>0</v>
      </c>
    </row>
    <row r="1495" spans="1:9" x14ac:dyDescent="0.2">
      <c r="A1495" s="2">
        <v>14</v>
      </c>
      <c r="B1495" s="1" t="s">
        <v>220</v>
      </c>
      <c r="C1495" s="4">
        <v>7</v>
      </c>
      <c r="D1495" s="8">
        <v>1.64</v>
      </c>
      <c r="E1495" s="4">
        <v>7</v>
      </c>
      <c r="F1495" s="8">
        <v>2.67</v>
      </c>
      <c r="G1495" s="4">
        <v>0</v>
      </c>
      <c r="H1495" s="8">
        <v>0</v>
      </c>
      <c r="I1495" s="4">
        <v>0</v>
      </c>
    </row>
    <row r="1496" spans="1:9" x14ac:dyDescent="0.2">
      <c r="A1496" s="2">
        <v>16</v>
      </c>
      <c r="B1496" s="1" t="s">
        <v>154</v>
      </c>
      <c r="C1496" s="4">
        <v>6</v>
      </c>
      <c r="D1496" s="8">
        <v>1.41</v>
      </c>
      <c r="E1496" s="4">
        <v>3</v>
      </c>
      <c r="F1496" s="8">
        <v>1.1499999999999999</v>
      </c>
      <c r="G1496" s="4">
        <v>3</v>
      </c>
      <c r="H1496" s="8">
        <v>1.88</v>
      </c>
      <c r="I1496" s="4">
        <v>0</v>
      </c>
    </row>
    <row r="1497" spans="1:9" x14ac:dyDescent="0.2">
      <c r="A1497" s="2">
        <v>16</v>
      </c>
      <c r="B1497" s="1" t="s">
        <v>155</v>
      </c>
      <c r="C1497" s="4">
        <v>6</v>
      </c>
      <c r="D1497" s="8">
        <v>1.41</v>
      </c>
      <c r="E1497" s="4">
        <v>2</v>
      </c>
      <c r="F1497" s="8">
        <v>0.76</v>
      </c>
      <c r="G1497" s="4">
        <v>4</v>
      </c>
      <c r="H1497" s="8">
        <v>2.5</v>
      </c>
      <c r="I1497" s="4">
        <v>0</v>
      </c>
    </row>
    <row r="1498" spans="1:9" x14ac:dyDescent="0.2">
      <c r="A1498" s="2">
        <v>16</v>
      </c>
      <c r="B1498" s="1" t="s">
        <v>211</v>
      </c>
      <c r="C1498" s="4">
        <v>6</v>
      </c>
      <c r="D1498" s="8">
        <v>1.41</v>
      </c>
      <c r="E1498" s="4">
        <v>5</v>
      </c>
      <c r="F1498" s="8">
        <v>1.91</v>
      </c>
      <c r="G1498" s="4">
        <v>0</v>
      </c>
      <c r="H1498" s="8">
        <v>0</v>
      </c>
      <c r="I1498" s="4">
        <v>1</v>
      </c>
    </row>
    <row r="1499" spans="1:9" x14ac:dyDescent="0.2">
      <c r="A1499" s="2">
        <v>16</v>
      </c>
      <c r="B1499" s="1" t="s">
        <v>194</v>
      </c>
      <c r="C1499" s="4">
        <v>6</v>
      </c>
      <c r="D1499" s="8">
        <v>1.41</v>
      </c>
      <c r="E1499" s="4">
        <v>1</v>
      </c>
      <c r="F1499" s="8">
        <v>0.38</v>
      </c>
      <c r="G1499" s="4">
        <v>5</v>
      </c>
      <c r="H1499" s="8">
        <v>3.13</v>
      </c>
      <c r="I1499" s="4">
        <v>0</v>
      </c>
    </row>
    <row r="1500" spans="1:9" x14ac:dyDescent="0.2">
      <c r="A1500" s="2">
        <v>16</v>
      </c>
      <c r="B1500" s="1" t="s">
        <v>182</v>
      </c>
      <c r="C1500" s="4">
        <v>6</v>
      </c>
      <c r="D1500" s="8">
        <v>1.41</v>
      </c>
      <c r="E1500" s="4">
        <v>5</v>
      </c>
      <c r="F1500" s="8">
        <v>1.91</v>
      </c>
      <c r="G1500" s="4">
        <v>1</v>
      </c>
      <c r="H1500" s="8">
        <v>0.63</v>
      </c>
      <c r="I1500" s="4">
        <v>0</v>
      </c>
    </row>
    <row r="1501" spans="1:9" x14ac:dyDescent="0.2">
      <c r="A1501" s="2">
        <v>16</v>
      </c>
      <c r="B1501" s="1" t="s">
        <v>201</v>
      </c>
      <c r="C1501" s="4">
        <v>6</v>
      </c>
      <c r="D1501" s="8">
        <v>1.41</v>
      </c>
      <c r="E1501" s="4">
        <v>6</v>
      </c>
      <c r="F1501" s="8">
        <v>2.29</v>
      </c>
      <c r="G1501" s="4">
        <v>0</v>
      </c>
      <c r="H1501" s="8">
        <v>0</v>
      </c>
      <c r="I1501" s="4">
        <v>0</v>
      </c>
    </row>
    <row r="1502" spans="1:9" x14ac:dyDescent="0.2">
      <c r="A1502" s="2">
        <v>16</v>
      </c>
      <c r="B1502" s="1" t="s">
        <v>204</v>
      </c>
      <c r="C1502" s="4">
        <v>6</v>
      </c>
      <c r="D1502" s="8">
        <v>1.41</v>
      </c>
      <c r="E1502" s="4">
        <v>0</v>
      </c>
      <c r="F1502" s="8">
        <v>0</v>
      </c>
      <c r="G1502" s="4">
        <v>6</v>
      </c>
      <c r="H1502" s="8">
        <v>3.75</v>
      </c>
      <c r="I1502" s="4">
        <v>0</v>
      </c>
    </row>
    <row r="1503" spans="1:9" x14ac:dyDescent="0.2">
      <c r="A1503" s="1"/>
      <c r="C1503" s="4"/>
      <c r="D1503" s="8"/>
      <c r="E1503" s="4"/>
      <c r="F1503" s="8"/>
      <c r="G1503" s="4"/>
      <c r="H1503" s="8"/>
      <c r="I1503" s="4"/>
    </row>
    <row r="1504" spans="1:9" x14ac:dyDescent="0.2">
      <c r="A1504" s="1" t="s">
        <v>63</v>
      </c>
      <c r="C1504" s="4"/>
      <c r="D1504" s="8"/>
      <c r="E1504" s="4"/>
      <c r="F1504" s="8"/>
      <c r="G1504" s="4"/>
      <c r="H1504" s="8"/>
      <c r="I1504" s="4"/>
    </row>
    <row r="1505" spans="1:9" x14ac:dyDescent="0.2">
      <c r="A1505" s="2">
        <v>1</v>
      </c>
      <c r="B1505" s="1" t="s">
        <v>154</v>
      </c>
      <c r="C1505" s="4">
        <v>12</v>
      </c>
      <c r="D1505" s="8">
        <v>6.25</v>
      </c>
      <c r="E1505" s="4">
        <v>4</v>
      </c>
      <c r="F1505" s="8">
        <v>3.31</v>
      </c>
      <c r="G1505" s="4">
        <v>8</v>
      </c>
      <c r="H1505" s="8">
        <v>12.12</v>
      </c>
      <c r="I1505" s="4">
        <v>0</v>
      </c>
    </row>
    <row r="1506" spans="1:9" x14ac:dyDescent="0.2">
      <c r="A1506" s="2">
        <v>1</v>
      </c>
      <c r="B1506" s="1" t="s">
        <v>169</v>
      </c>
      <c r="C1506" s="4">
        <v>12</v>
      </c>
      <c r="D1506" s="8">
        <v>6.25</v>
      </c>
      <c r="E1506" s="4">
        <v>11</v>
      </c>
      <c r="F1506" s="8">
        <v>9.09</v>
      </c>
      <c r="G1506" s="4">
        <v>1</v>
      </c>
      <c r="H1506" s="8">
        <v>1.52</v>
      </c>
      <c r="I1506" s="4">
        <v>0</v>
      </c>
    </row>
    <row r="1507" spans="1:9" x14ac:dyDescent="0.2">
      <c r="A1507" s="2">
        <v>3</v>
      </c>
      <c r="B1507" s="1" t="s">
        <v>170</v>
      </c>
      <c r="C1507" s="4">
        <v>10</v>
      </c>
      <c r="D1507" s="8">
        <v>5.21</v>
      </c>
      <c r="E1507" s="4">
        <v>10</v>
      </c>
      <c r="F1507" s="8">
        <v>8.26</v>
      </c>
      <c r="G1507" s="4">
        <v>0</v>
      </c>
      <c r="H1507" s="8">
        <v>0</v>
      </c>
      <c r="I1507" s="4">
        <v>0</v>
      </c>
    </row>
    <row r="1508" spans="1:9" x14ac:dyDescent="0.2">
      <c r="A1508" s="2">
        <v>4</v>
      </c>
      <c r="B1508" s="1" t="s">
        <v>173</v>
      </c>
      <c r="C1508" s="4">
        <v>7</v>
      </c>
      <c r="D1508" s="8">
        <v>3.65</v>
      </c>
      <c r="E1508" s="4">
        <v>6</v>
      </c>
      <c r="F1508" s="8">
        <v>4.96</v>
      </c>
      <c r="G1508" s="4">
        <v>1</v>
      </c>
      <c r="H1508" s="8">
        <v>1.52</v>
      </c>
      <c r="I1508" s="4">
        <v>0</v>
      </c>
    </row>
    <row r="1509" spans="1:9" x14ac:dyDescent="0.2">
      <c r="A1509" s="2">
        <v>5</v>
      </c>
      <c r="B1509" s="1" t="s">
        <v>181</v>
      </c>
      <c r="C1509" s="4">
        <v>6</v>
      </c>
      <c r="D1509" s="8">
        <v>3.13</v>
      </c>
      <c r="E1509" s="4">
        <v>6</v>
      </c>
      <c r="F1509" s="8">
        <v>4.96</v>
      </c>
      <c r="G1509" s="4">
        <v>0</v>
      </c>
      <c r="H1509" s="8">
        <v>0</v>
      </c>
      <c r="I1509" s="4">
        <v>0</v>
      </c>
    </row>
    <row r="1510" spans="1:9" x14ac:dyDescent="0.2">
      <c r="A1510" s="2">
        <v>5</v>
      </c>
      <c r="B1510" s="1" t="s">
        <v>205</v>
      </c>
      <c r="C1510" s="4">
        <v>6</v>
      </c>
      <c r="D1510" s="8">
        <v>3.13</v>
      </c>
      <c r="E1510" s="4">
        <v>1</v>
      </c>
      <c r="F1510" s="8">
        <v>0.83</v>
      </c>
      <c r="G1510" s="4">
        <v>5</v>
      </c>
      <c r="H1510" s="8">
        <v>7.58</v>
      </c>
      <c r="I1510" s="4">
        <v>0</v>
      </c>
    </row>
    <row r="1511" spans="1:9" x14ac:dyDescent="0.2">
      <c r="A1511" s="2">
        <v>7</v>
      </c>
      <c r="B1511" s="1" t="s">
        <v>180</v>
      </c>
      <c r="C1511" s="4">
        <v>5</v>
      </c>
      <c r="D1511" s="8">
        <v>2.6</v>
      </c>
      <c r="E1511" s="4">
        <v>1</v>
      </c>
      <c r="F1511" s="8">
        <v>0.83</v>
      </c>
      <c r="G1511" s="4">
        <v>4</v>
      </c>
      <c r="H1511" s="8">
        <v>6.06</v>
      </c>
      <c r="I1511" s="4">
        <v>0</v>
      </c>
    </row>
    <row r="1512" spans="1:9" x14ac:dyDescent="0.2">
      <c r="A1512" s="2">
        <v>8</v>
      </c>
      <c r="B1512" s="1" t="s">
        <v>156</v>
      </c>
      <c r="C1512" s="4">
        <v>4</v>
      </c>
      <c r="D1512" s="8">
        <v>2.08</v>
      </c>
      <c r="E1512" s="4">
        <v>2</v>
      </c>
      <c r="F1512" s="8">
        <v>1.65</v>
      </c>
      <c r="G1512" s="4">
        <v>2</v>
      </c>
      <c r="H1512" s="8">
        <v>3.03</v>
      </c>
      <c r="I1512" s="4">
        <v>0</v>
      </c>
    </row>
    <row r="1513" spans="1:9" x14ac:dyDescent="0.2">
      <c r="A1513" s="2">
        <v>8</v>
      </c>
      <c r="B1513" s="1" t="s">
        <v>204</v>
      </c>
      <c r="C1513" s="4">
        <v>4</v>
      </c>
      <c r="D1513" s="8">
        <v>2.08</v>
      </c>
      <c r="E1513" s="4">
        <v>0</v>
      </c>
      <c r="F1513" s="8">
        <v>0</v>
      </c>
      <c r="G1513" s="4">
        <v>4</v>
      </c>
      <c r="H1513" s="8">
        <v>6.06</v>
      </c>
      <c r="I1513" s="4">
        <v>0</v>
      </c>
    </row>
    <row r="1514" spans="1:9" x14ac:dyDescent="0.2">
      <c r="A1514" s="2">
        <v>10</v>
      </c>
      <c r="B1514" s="1" t="s">
        <v>232</v>
      </c>
      <c r="C1514" s="4">
        <v>3</v>
      </c>
      <c r="D1514" s="8">
        <v>1.56</v>
      </c>
      <c r="E1514" s="4">
        <v>2</v>
      </c>
      <c r="F1514" s="8">
        <v>1.65</v>
      </c>
      <c r="G1514" s="4">
        <v>1</v>
      </c>
      <c r="H1514" s="8">
        <v>1.52</v>
      </c>
      <c r="I1514" s="4">
        <v>0</v>
      </c>
    </row>
    <row r="1515" spans="1:9" x14ac:dyDescent="0.2">
      <c r="A1515" s="2">
        <v>10</v>
      </c>
      <c r="B1515" s="1" t="s">
        <v>155</v>
      </c>
      <c r="C1515" s="4">
        <v>3</v>
      </c>
      <c r="D1515" s="8">
        <v>1.56</v>
      </c>
      <c r="E1515" s="4">
        <v>0</v>
      </c>
      <c r="F1515" s="8">
        <v>0</v>
      </c>
      <c r="G1515" s="4">
        <v>3</v>
      </c>
      <c r="H1515" s="8">
        <v>4.55</v>
      </c>
      <c r="I1515" s="4">
        <v>0</v>
      </c>
    </row>
    <row r="1516" spans="1:9" x14ac:dyDescent="0.2">
      <c r="A1516" s="2">
        <v>10</v>
      </c>
      <c r="B1516" s="1" t="s">
        <v>266</v>
      </c>
      <c r="C1516" s="4">
        <v>3</v>
      </c>
      <c r="D1516" s="8">
        <v>1.56</v>
      </c>
      <c r="E1516" s="4">
        <v>3</v>
      </c>
      <c r="F1516" s="8">
        <v>2.48</v>
      </c>
      <c r="G1516" s="4">
        <v>0</v>
      </c>
      <c r="H1516" s="8">
        <v>0</v>
      </c>
      <c r="I1516" s="4">
        <v>0</v>
      </c>
    </row>
    <row r="1517" spans="1:9" x14ac:dyDescent="0.2">
      <c r="A1517" s="2">
        <v>10</v>
      </c>
      <c r="B1517" s="1" t="s">
        <v>262</v>
      </c>
      <c r="C1517" s="4">
        <v>3</v>
      </c>
      <c r="D1517" s="8">
        <v>1.56</v>
      </c>
      <c r="E1517" s="4">
        <v>3</v>
      </c>
      <c r="F1517" s="8">
        <v>2.48</v>
      </c>
      <c r="G1517" s="4">
        <v>0</v>
      </c>
      <c r="H1517" s="8">
        <v>0</v>
      </c>
      <c r="I1517" s="4">
        <v>0</v>
      </c>
    </row>
    <row r="1518" spans="1:9" x14ac:dyDescent="0.2">
      <c r="A1518" s="2">
        <v>10</v>
      </c>
      <c r="B1518" s="1" t="s">
        <v>267</v>
      </c>
      <c r="C1518" s="4">
        <v>3</v>
      </c>
      <c r="D1518" s="8">
        <v>1.56</v>
      </c>
      <c r="E1518" s="4">
        <v>3</v>
      </c>
      <c r="F1518" s="8">
        <v>2.48</v>
      </c>
      <c r="G1518" s="4">
        <v>0</v>
      </c>
      <c r="H1518" s="8">
        <v>0</v>
      </c>
      <c r="I1518" s="4">
        <v>0</v>
      </c>
    </row>
    <row r="1519" spans="1:9" x14ac:dyDescent="0.2">
      <c r="A1519" s="2">
        <v>10</v>
      </c>
      <c r="B1519" s="1" t="s">
        <v>177</v>
      </c>
      <c r="C1519" s="4">
        <v>3</v>
      </c>
      <c r="D1519" s="8">
        <v>1.56</v>
      </c>
      <c r="E1519" s="4">
        <v>3</v>
      </c>
      <c r="F1519" s="8">
        <v>2.48</v>
      </c>
      <c r="G1519" s="4">
        <v>0</v>
      </c>
      <c r="H1519" s="8">
        <v>0</v>
      </c>
      <c r="I1519" s="4">
        <v>0</v>
      </c>
    </row>
    <row r="1520" spans="1:9" x14ac:dyDescent="0.2">
      <c r="A1520" s="2">
        <v>10</v>
      </c>
      <c r="B1520" s="1" t="s">
        <v>158</v>
      </c>
      <c r="C1520" s="4">
        <v>3</v>
      </c>
      <c r="D1520" s="8">
        <v>1.56</v>
      </c>
      <c r="E1520" s="4">
        <v>3</v>
      </c>
      <c r="F1520" s="8">
        <v>2.48</v>
      </c>
      <c r="G1520" s="4">
        <v>0</v>
      </c>
      <c r="H1520" s="8">
        <v>0</v>
      </c>
      <c r="I1520" s="4">
        <v>0</v>
      </c>
    </row>
    <row r="1521" spans="1:9" x14ac:dyDescent="0.2">
      <c r="A1521" s="2">
        <v>10</v>
      </c>
      <c r="B1521" s="1" t="s">
        <v>159</v>
      </c>
      <c r="C1521" s="4">
        <v>3</v>
      </c>
      <c r="D1521" s="8">
        <v>1.56</v>
      </c>
      <c r="E1521" s="4">
        <v>3</v>
      </c>
      <c r="F1521" s="8">
        <v>2.48</v>
      </c>
      <c r="G1521" s="4">
        <v>0</v>
      </c>
      <c r="H1521" s="8">
        <v>0</v>
      </c>
      <c r="I1521" s="4">
        <v>0</v>
      </c>
    </row>
    <row r="1522" spans="1:9" x14ac:dyDescent="0.2">
      <c r="A1522" s="2">
        <v>10</v>
      </c>
      <c r="B1522" s="1" t="s">
        <v>212</v>
      </c>
      <c r="C1522" s="4">
        <v>3</v>
      </c>
      <c r="D1522" s="8">
        <v>1.56</v>
      </c>
      <c r="E1522" s="4">
        <v>3</v>
      </c>
      <c r="F1522" s="8">
        <v>2.48</v>
      </c>
      <c r="G1522" s="4">
        <v>0</v>
      </c>
      <c r="H1522" s="8">
        <v>0</v>
      </c>
      <c r="I1522" s="4">
        <v>0</v>
      </c>
    </row>
    <row r="1523" spans="1:9" x14ac:dyDescent="0.2">
      <c r="A1523" s="2">
        <v>10</v>
      </c>
      <c r="B1523" s="1" t="s">
        <v>164</v>
      </c>
      <c r="C1523" s="4">
        <v>3</v>
      </c>
      <c r="D1523" s="8">
        <v>1.56</v>
      </c>
      <c r="E1523" s="4">
        <v>1</v>
      </c>
      <c r="F1523" s="8">
        <v>0.83</v>
      </c>
      <c r="G1523" s="4">
        <v>1</v>
      </c>
      <c r="H1523" s="8">
        <v>1.52</v>
      </c>
      <c r="I1523" s="4">
        <v>0</v>
      </c>
    </row>
    <row r="1524" spans="1:9" x14ac:dyDescent="0.2">
      <c r="A1524" s="2">
        <v>10</v>
      </c>
      <c r="B1524" s="1" t="s">
        <v>166</v>
      </c>
      <c r="C1524" s="4">
        <v>3</v>
      </c>
      <c r="D1524" s="8">
        <v>1.56</v>
      </c>
      <c r="E1524" s="4">
        <v>3</v>
      </c>
      <c r="F1524" s="8">
        <v>2.48</v>
      </c>
      <c r="G1524" s="4">
        <v>0</v>
      </c>
      <c r="H1524" s="8">
        <v>0</v>
      </c>
      <c r="I1524" s="4">
        <v>0</v>
      </c>
    </row>
    <row r="1525" spans="1:9" x14ac:dyDescent="0.2">
      <c r="A1525" s="2">
        <v>10</v>
      </c>
      <c r="B1525" s="1" t="s">
        <v>218</v>
      </c>
      <c r="C1525" s="4">
        <v>3</v>
      </c>
      <c r="D1525" s="8">
        <v>1.56</v>
      </c>
      <c r="E1525" s="4">
        <v>0</v>
      </c>
      <c r="F1525" s="8">
        <v>0</v>
      </c>
      <c r="G1525" s="4">
        <v>2</v>
      </c>
      <c r="H1525" s="8">
        <v>3.03</v>
      </c>
      <c r="I1525" s="4">
        <v>0</v>
      </c>
    </row>
    <row r="1526" spans="1:9" x14ac:dyDescent="0.2">
      <c r="A1526" s="2">
        <v>10</v>
      </c>
      <c r="B1526" s="1" t="s">
        <v>182</v>
      </c>
      <c r="C1526" s="4">
        <v>3</v>
      </c>
      <c r="D1526" s="8">
        <v>1.56</v>
      </c>
      <c r="E1526" s="4">
        <v>3</v>
      </c>
      <c r="F1526" s="8">
        <v>2.48</v>
      </c>
      <c r="G1526" s="4">
        <v>0</v>
      </c>
      <c r="H1526" s="8">
        <v>0</v>
      </c>
      <c r="I1526" s="4">
        <v>0</v>
      </c>
    </row>
    <row r="1527" spans="1:9" x14ac:dyDescent="0.2">
      <c r="A1527" s="2">
        <v>10</v>
      </c>
      <c r="B1527" s="1" t="s">
        <v>172</v>
      </c>
      <c r="C1527" s="4">
        <v>3</v>
      </c>
      <c r="D1527" s="8">
        <v>1.56</v>
      </c>
      <c r="E1527" s="4">
        <v>3</v>
      </c>
      <c r="F1527" s="8">
        <v>2.48</v>
      </c>
      <c r="G1527" s="4">
        <v>0</v>
      </c>
      <c r="H1527" s="8">
        <v>0</v>
      </c>
      <c r="I1527" s="4">
        <v>0</v>
      </c>
    </row>
    <row r="1528" spans="1:9" x14ac:dyDescent="0.2">
      <c r="A1528" s="1"/>
      <c r="C1528" s="4"/>
      <c r="D1528" s="8"/>
      <c r="E1528" s="4"/>
      <c r="F1528" s="8"/>
      <c r="G1528" s="4"/>
      <c r="H1528" s="8"/>
      <c r="I1528" s="4"/>
    </row>
    <row r="1529" spans="1:9" x14ac:dyDescent="0.2">
      <c r="A1529" s="1" t="s">
        <v>64</v>
      </c>
      <c r="C1529" s="4"/>
      <c r="D1529" s="8"/>
      <c r="E1529" s="4"/>
      <c r="F1529" s="8"/>
      <c r="G1529" s="4"/>
      <c r="H1529" s="8"/>
      <c r="I1529" s="4"/>
    </row>
    <row r="1530" spans="1:9" x14ac:dyDescent="0.2">
      <c r="A1530" s="2">
        <v>1</v>
      </c>
      <c r="B1530" s="1" t="s">
        <v>154</v>
      </c>
      <c r="C1530" s="4">
        <v>15</v>
      </c>
      <c r="D1530" s="8">
        <v>6.79</v>
      </c>
      <c r="E1530" s="4">
        <v>0</v>
      </c>
      <c r="F1530" s="8">
        <v>0</v>
      </c>
      <c r="G1530" s="4">
        <v>15</v>
      </c>
      <c r="H1530" s="8">
        <v>22.39</v>
      </c>
      <c r="I1530" s="4">
        <v>0</v>
      </c>
    </row>
    <row r="1531" spans="1:9" x14ac:dyDescent="0.2">
      <c r="A1531" s="2">
        <v>2</v>
      </c>
      <c r="B1531" s="1" t="s">
        <v>170</v>
      </c>
      <c r="C1531" s="4">
        <v>12</v>
      </c>
      <c r="D1531" s="8">
        <v>5.43</v>
      </c>
      <c r="E1531" s="4">
        <v>12</v>
      </c>
      <c r="F1531" s="8">
        <v>8.11</v>
      </c>
      <c r="G1531" s="4">
        <v>0</v>
      </c>
      <c r="H1531" s="8">
        <v>0</v>
      </c>
      <c r="I1531" s="4">
        <v>0</v>
      </c>
    </row>
    <row r="1532" spans="1:9" x14ac:dyDescent="0.2">
      <c r="A1532" s="2">
        <v>3</v>
      </c>
      <c r="B1532" s="1" t="s">
        <v>158</v>
      </c>
      <c r="C1532" s="4">
        <v>7</v>
      </c>
      <c r="D1532" s="8">
        <v>3.17</v>
      </c>
      <c r="E1532" s="4">
        <v>7</v>
      </c>
      <c r="F1532" s="8">
        <v>4.7300000000000004</v>
      </c>
      <c r="G1532" s="4">
        <v>0</v>
      </c>
      <c r="H1532" s="8">
        <v>0</v>
      </c>
      <c r="I1532" s="4">
        <v>0</v>
      </c>
    </row>
    <row r="1533" spans="1:9" x14ac:dyDescent="0.2">
      <c r="A1533" s="2">
        <v>3</v>
      </c>
      <c r="B1533" s="1" t="s">
        <v>161</v>
      </c>
      <c r="C1533" s="4">
        <v>7</v>
      </c>
      <c r="D1533" s="8">
        <v>3.17</v>
      </c>
      <c r="E1533" s="4">
        <v>6</v>
      </c>
      <c r="F1533" s="8">
        <v>4.05</v>
      </c>
      <c r="G1533" s="4">
        <v>1</v>
      </c>
      <c r="H1533" s="8">
        <v>1.49</v>
      </c>
      <c r="I1533" s="4">
        <v>0</v>
      </c>
    </row>
    <row r="1534" spans="1:9" x14ac:dyDescent="0.2">
      <c r="A1534" s="2">
        <v>5</v>
      </c>
      <c r="B1534" s="1" t="s">
        <v>177</v>
      </c>
      <c r="C1534" s="4">
        <v>6</v>
      </c>
      <c r="D1534" s="8">
        <v>2.71</v>
      </c>
      <c r="E1534" s="4">
        <v>6</v>
      </c>
      <c r="F1534" s="8">
        <v>4.05</v>
      </c>
      <c r="G1534" s="4">
        <v>0</v>
      </c>
      <c r="H1534" s="8">
        <v>0</v>
      </c>
      <c r="I1534" s="4">
        <v>0</v>
      </c>
    </row>
    <row r="1535" spans="1:9" x14ac:dyDescent="0.2">
      <c r="A1535" s="2">
        <v>5</v>
      </c>
      <c r="B1535" s="1" t="s">
        <v>166</v>
      </c>
      <c r="C1535" s="4">
        <v>6</v>
      </c>
      <c r="D1535" s="8">
        <v>2.71</v>
      </c>
      <c r="E1535" s="4">
        <v>6</v>
      </c>
      <c r="F1535" s="8">
        <v>4.05</v>
      </c>
      <c r="G1535" s="4">
        <v>0</v>
      </c>
      <c r="H1535" s="8">
        <v>0</v>
      </c>
      <c r="I1535" s="4">
        <v>0</v>
      </c>
    </row>
    <row r="1536" spans="1:9" x14ac:dyDescent="0.2">
      <c r="A1536" s="2">
        <v>5</v>
      </c>
      <c r="B1536" s="1" t="s">
        <v>204</v>
      </c>
      <c r="C1536" s="4">
        <v>6</v>
      </c>
      <c r="D1536" s="8">
        <v>2.71</v>
      </c>
      <c r="E1536" s="4">
        <v>0</v>
      </c>
      <c r="F1536" s="8">
        <v>0</v>
      </c>
      <c r="G1536" s="4">
        <v>6</v>
      </c>
      <c r="H1536" s="8">
        <v>8.9600000000000009</v>
      </c>
      <c r="I1536" s="4">
        <v>0</v>
      </c>
    </row>
    <row r="1537" spans="1:9" x14ac:dyDescent="0.2">
      <c r="A1537" s="2">
        <v>5</v>
      </c>
      <c r="B1537" s="1" t="s">
        <v>190</v>
      </c>
      <c r="C1537" s="4">
        <v>6</v>
      </c>
      <c r="D1537" s="8">
        <v>2.71</v>
      </c>
      <c r="E1537" s="4">
        <v>6</v>
      </c>
      <c r="F1537" s="8">
        <v>4.05</v>
      </c>
      <c r="G1537" s="4">
        <v>0</v>
      </c>
      <c r="H1537" s="8">
        <v>0</v>
      </c>
      <c r="I1537" s="4">
        <v>0</v>
      </c>
    </row>
    <row r="1538" spans="1:9" x14ac:dyDescent="0.2">
      <c r="A1538" s="2">
        <v>9</v>
      </c>
      <c r="B1538" s="1" t="s">
        <v>156</v>
      </c>
      <c r="C1538" s="4">
        <v>5</v>
      </c>
      <c r="D1538" s="8">
        <v>2.2599999999999998</v>
      </c>
      <c r="E1538" s="4">
        <v>2</v>
      </c>
      <c r="F1538" s="8">
        <v>1.35</v>
      </c>
      <c r="G1538" s="4">
        <v>3</v>
      </c>
      <c r="H1538" s="8">
        <v>4.4800000000000004</v>
      </c>
      <c r="I1538" s="4">
        <v>0</v>
      </c>
    </row>
    <row r="1539" spans="1:9" x14ac:dyDescent="0.2">
      <c r="A1539" s="2">
        <v>9</v>
      </c>
      <c r="B1539" s="1" t="s">
        <v>157</v>
      </c>
      <c r="C1539" s="4">
        <v>5</v>
      </c>
      <c r="D1539" s="8">
        <v>2.2599999999999998</v>
      </c>
      <c r="E1539" s="4">
        <v>5</v>
      </c>
      <c r="F1539" s="8">
        <v>3.38</v>
      </c>
      <c r="G1539" s="4">
        <v>0</v>
      </c>
      <c r="H1539" s="8">
        <v>0</v>
      </c>
      <c r="I1539" s="4">
        <v>0</v>
      </c>
    </row>
    <row r="1540" spans="1:9" x14ac:dyDescent="0.2">
      <c r="A1540" s="2">
        <v>9</v>
      </c>
      <c r="B1540" s="1" t="s">
        <v>208</v>
      </c>
      <c r="C1540" s="4">
        <v>5</v>
      </c>
      <c r="D1540" s="8">
        <v>2.2599999999999998</v>
      </c>
      <c r="E1540" s="4">
        <v>5</v>
      </c>
      <c r="F1540" s="8">
        <v>3.38</v>
      </c>
      <c r="G1540" s="4">
        <v>0</v>
      </c>
      <c r="H1540" s="8">
        <v>0</v>
      </c>
      <c r="I1540" s="4">
        <v>0</v>
      </c>
    </row>
    <row r="1541" spans="1:9" x14ac:dyDescent="0.2">
      <c r="A1541" s="2">
        <v>9</v>
      </c>
      <c r="B1541" s="1" t="s">
        <v>160</v>
      </c>
      <c r="C1541" s="4">
        <v>5</v>
      </c>
      <c r="D1541" s="8">
        <v>2.2599999999999998</v>
      </c>
      <c r="E1541" s="4">
        <v>4</v>
      </c>
      <c r="F1541" s="8">
        <v>2.7</v>
      </c>
      <c r="G1541" s="4">
        <v>1</v>
      </c>
      <c r="H1541" s="8">
        <v>1.49</v>
      </c>
      <c r="I1541" s="4">
        <v>0</v>
      </c>
    </row>
    <row r="1542" spans="1:9" x14ac:dyDescent="0.2">
      <c r="A1542" s="2">
        <v>9</v>
      </c>
      <c r="B1542" s="1" t="s">
        <v>164</v>
      </c>
      <c r="C1542" s="4">
        <v>5</v>
      </c>
      <c r="D1542" s="8">
        <v>2.2599999999999998</v>
      </c>
      <c r="E1542" s="4">
        <v>3</v>
      </c>
      <c r="F1542" s="8">
        <v>2.0299999999999998</v>
      </c>
      <c r="G1542" s="4">
        <v>1</v>
      </c>
      <c r="H1542" s="8">
        <v>1.49</v>
      </c>
      <c r="I1542" s="4">
        <v>0</v>
      </c>
    </row>
    <row r="1543" spans="1:9" x14ac:dyDescent="0.2">
      <c r="A1543" s="2">
        <v>9</v>
      </c>
      <c r="B1543" s="1" t="s">
        <v>179</v>
      </c>
      <c r="C1543" s="4">
        <v>5</v>
      </c>
      <c r="D1543" s="8">
        <v>2.2599999999999998</v>
      </c>
      <c r="E1543" s="4">
        <v>4</v>
      </c>
      <c r="F1543" s="8">
        <v>2.7</v>
      </c>
      <c r="G1543" s="4">
        <v>1</v>
      </c>
      <c r="H1543" s="8">
        <v>1.49</v>
      </c>
      <c r="I1543" s="4">
        <v>0</v>
      </c>
    </row>
    <row r="1544" spans="1:9" x14ac:dyDescent="0.2">
      <c r="A1544" s="2">
        <v>15</v>
      </c>
      <c r="B1544" s="1" t="s">
        <v>155</v>
      </c>
      <c r="C1544" s="4">
        <v>4</v>
      </c>
      <c r="D1544" s="8">
        <v>1.81</v>
      </c>
      <c r="E1544" s="4">
        <v>2</v>
      </c>
      <c r="F1544" s="8">
        <v>1.35</v>
      </c>
      <c r="G1544" s="4">
        <v>2</v>
      </c>
      <c r="H1544" s="8">
        <v>2.99</v>
      </c>
      <c r="I1544" s="4">
        <v>0</v>
      </c>
    </row>
    <row r="1545" spans="1:9" x14ac:dyDescent="0.2">
      <c r="A1545" s="2">
        <v>15</v>
      </c>
      <c r="B1545" s="1" t="s">
        <v>181</v>
      </c>
      <c r="C1545" s="4">
        <v>4</v>
      </c>
      <c r="D1545" s="8">
        <v>1.81</v>
      </c>
      <c r="E1545" s="4">
        <v>4</v>
      </c>
      <c r="F1545" s="8">
        <v>2.7</v>
      </c>
      <c r="G1545" s="4">
        <v>0</v>
      </c>
      <c r="H1545" s="8">
        <v>0</v>
      </c>
      <c r="I1545" s="4">
        <v>0</v>
      </c>
    </row>
    <row r="1546" spans="1:9" x14ac:dyDescent="0.2">
      <c r="A1546" s="2">
        <v>15</v>
      </c>
      <c r="B1546" s="1" t="s">
        <v>205</v>
      </c>
      <c r="C1546" s="4">
        <v>4</v>
      </c>
      <c r="D1546" s="8">
        <v>1.81</v>
      </c>
      <c r="E1546" s="4">
        <v>1</v>
      </c>
      <c r="F1546" s="8">
        <v>0.68</v>
      </c>
      <c r="G1546" s="4">
        <v>3</v>
      </c>
      <c r="H1546" s="8">
        <v>4.4800000000000004</v>
      </c>
      <c r="I1546" s="4">
        <v>0</v>
      </c>
    </row>
    <row r="1547" spans="1:9" x14ac:dyDescent="0.2">
      <c r="A1547" s="2">
        <v>15</v>
      </c>
      <c r="B1547" s="1" t="s">
        <v>178</v>
      </c>
      <c r="C1547" s="4">
        <v>4</v>
      </c>
      <c r="D1547" s="8">
        <v>1.81</v>
      </c>
      <c r="E1547" s="4">
        <v>2</v>
      </c>
      <c r="F1547" s="8">
        <v>1.35</v>
      </c>
      <c r="G1547" s="4">
        <v>2</v>
      </c>
      <c r="H1547" s="8">
        <v>2.99</v>
      </c>
      <c r="I1547" s="4">
        <v>0</v>
      </c>
    </row>
    <row r="1548" spans="1:9" x14ac:dyDescent="0.2">
      <c r="A1548" s="2">
        <v>15</v>
      </c>
      <c r="B1548" s="1" t="s">
        <v>172</v>
      </c>
      <c r="C1548" s="4">
        <v>4</v>
      </c>
      <c r="D1548" s="8">
        <v>1.81</v>
      </c>
      <c r="E1548" s="4">
        <v>4</v>
      </c>
      <c r="F1548" s="8">
        <v>2.7</v>
      </c>
      <c r="G1548" s="4">
        <v>0</v>
      </c>
      <c r="H1548" s="8">
        <v>0</v>
      </c>
      <c r="I1548" s="4">
        <v>0</v>
      </c>
    </row>
    <row r="1549" spans="1:9" x14ac:dyDescent="0.2">
      <c r="A1549" s="2">
        <v>15</v>
      </c>
      <c r="B1549" s="1" t="s">
        <v>173</v>
      </c>
      <c r="C1549" s="4">
        <v>4</v>
      </c>
      <c r="D1549" s="8">
        <v>1.81</v>
      </c>
      <c r="E1549" s="4">
        <v>4</v>
      </c>
      <c r="F1549" s="8">
        <v>2.7</v>
      </c>
      <c r="G1549" s="4">
        <v>0</v>
      </c>
      <c r="H1549" s="8">
        <v>0</v>
      </c>
      <c r="I1549" s="4">
        <v>0</v>
      </c>
    </row>
    <row r="1550" spans="1:9" x14ac:dyDescent="0.2">
      <c r="A1550" s="1"/>
      <c r="C1550" s="4"/>
      <c r="D1550" s="8"/>
      <c r="E1550" s="4"/>
      <c r="F1550" s="8"/>
      <c r="G1550" s="4"/>
      <c r="H1550" s="8"/>
      <c r="I1550" s="4"/>
    </row>
    <row r="1551" spans="1:9" x14ac:dyDescent="0.2">
      <c r="A1551" s="1" t="s">
        <v>65</v>
      </c>
      <c r="C1551" s="4"/>
      <c r="D1551" s="8"/>
      <c r="E1551" s="4"/>
      <c r="F1551" s="8"/>
      <c r="G1551" s="4"/>
      <c r="H1551" s="8"/>
      <c r="I1551" s="4"/>
    </row>
    <row r="1552" spans="1:9" x14ac:dyDescent="0.2">
      <c r="A1552" s="2">
        <v>1</v>
      </c>
      <c r="B1552" s="1" t="s">
        <v>154</v>
      </c>
      <c r="C1552" s="4">
        <v>7</v>
      </c>
      <c r="D1552" s="8">
        <v>6.93</v>
      </c>
      <c r="E1552" s="4">
        <v>0</v>
      </c>
      <c r="F1552" s="8">
        <v>0</v>
      </c>
      <c r="G1552" s="4">
        <v>7</v>
      </c>
      <c r="H1552" s="8">
        <v>15.56</v>
      </c>
      <c r="I1552" s="4">
        <v>0</v>
      </c>
    </row>
    <row r="1553" spans="1:9" x14ac:dyDescent="0.2">
      <c r="A1553" s="2">
        <v>1</v>
      </c>
      <c r="B1553" s="1" t="s">
        <v>170</v>
      </c>
      <c r="C1553" s="4">
        <v>7</v>
      </c>
      <c r="D1553" s="8">
        <v>6.93</v>
      </c>
      <c r="E1553" s="4">
        <v>6</v>
      </c>
      <c r="F1553" s="8">
        <v>11.54</v>
      </c>
      <c r="G1553" s="4">
        <v>1</v>
      </c>
      <c r="H1553" s="8">
        <v>2.2200000000000002</v>
      </c>
      <c r="I1553" s="4">
        <v>0</v>
      </c>
    </row>
    <row r="1554" spans="1:9" x14ac:dyDescent="0.2">
      <c r="A1554" s="2">
        <v>3</v>
      </c>
      <c r="B1554" s="1" t="s">
        <v>169</v>
      </c>
      <c r="C1554" s="4">
        <v>6</v>
      </c>
      <c r="D1554" s="8">
        <v>5.94</v>
      </c>
      <c r="E1554" s="4">
        <v>6</v>
      </c>
      <c r="F1554" s="8">
        <v>11.54</v>
      </c>
      <c r="G1554" s="4">
        <v>0</v>
      </c>
      <c r="H1554" s="8">
        <v>0</v>
      </c>
      <c r="I1554" s="4">
        <v>0</v>
      </c>
    </row>
    <row r="1555" spans="1:9" x14ac:dyDescent="0.2">
      <c r="A1555" s="2">
        <v>4</v>
      </c>
      <c r="B1555" s="1" t="s">
        <v>180</v>
      </c>
      <c r="C1555" s="4">
        <v>5</v>
      </c>
      <c r="D1555" s="8">
        <v>4.95</v>
      </c>
      <c r="E1555" s="4">
        <v>0</v>
      </c>
      <c r="F1555" s="8">
        <v>0</v>
      </c>
      <c r="G1555" s="4">
        <v>5</v>
      </c>
      <c r="H1555" s="8">
        <v>11.11</v>
      </c>
      <c r="I1555" s="4">
        <v>0</v>
      </c>
    </row>
    <row r="1556" spans="1:9" x14ac:dyDescent="0.2">
      <c r="A1556" s="2">
        <v>5</v>
      </c>
      <c r="B1556" s="1" t="s">
        <v>158</v>
      </c>
      <c r="C1556" s="4">
        <v>4</v>
      </c>
      <c r="D1556" s="8">
        <v>3.96</v>
      </c>
      <c r="E1556" s="4">
        <v>4</v>
      </c>
      <c r="F1556" s="8">
        <v>7.69</v>
      </c>
      <c r="G1556" s="4">
        <v>0</v>
      </c>
      <c r="H1556" s="8">
        <v>0</v>
      </c>
      <c r="I1556" s="4">
        <v>0</v>
      </c>
    </row>
    <row r="1557" spans="1:9" x14ac:dyDescent="0.2">
      <c r="A1557" s="2">
        <v>5</v>
      </c>
      <c r="B1557" s="1" t="s">
        <v>205</v>
      </c>
      <c r="C1557" s="4">
        <v>4</v>
      </c>
      <c r="D1557" s="8">
        <v>3.96</v>
      </c>
      <c r="E1557" s="4">
        <v>0</v>
      </c>
      <c r="F1557" s="8">
        <v>0</v>
      </c>
      <c r="G1557" s="4">
        <v>4</v>
      </c>
      <c r="H1557" s="8">
        <v>8.89</v>
      </c>
      <c r="I1557" s="4">
        <v>0</v>
      </c>
    </row>
    <row r="1558" spans="1:9" x14ac:dyDescent="0.2">
      <c r="A1558" s="2">
        <v>7</v>
      </c>
      <c r="B1558" s="1" t="s">
        <v>174</v>
      </c>
      <c r="C1558" s="4">
        <v>3</v>
      </c>
      <c r="D1558" s="8">
        <v>2.97</v>
      </c>
      <c r="E1558" s="4">
        <v>2</v>
      </c>
      <c r="F1558" s="8">
        <v>3.85</v>
      </c>
      <c r="G1558" s="4">
        <v>1</v>
      </c>
      <c r="H1558" s="8">
        <v>2.2200000000000002</v>
      </c>
      <c r="I1558" s="4">
        <v>0</v>
      </c>
    </row>
    <row r="1559" spans="1:9" x14ac:dyDescent="0.2">
      <c r="A1559" s="2">
        <v>7</v>
      </c>
      <c r="B1559" s="1" t="s">
        <v>159</v>
      </c>
      <c r="C1559" s="4">
        <v>3</v>
      </c>
      <c r="D1559" s="8">
        <v>2.97</v>
      </c>
      <c r="E1559" s="4">
        <v>3</v>
      </c>
      <c r="F1559" s="8">
        <v>5.77</v>
      </c>
      <c r="G1559" s="4">
        <v>0</v>
      </c>
      <c r="H1559" s="8">
        <v>0</v>
      </c>
      <c r="I1559" s="4">
        <v>0</v>
      </c>
    </row>
    <row r="1560" spans="1:9" x14ac:dyDescent="0.2">
      <c r="A1560" s="2">
        <v>7</v>
      </c>
      <c r="B1560" s="1" t="s">
        <v>208</v>
      </c>
      <c r="C1560" s="4">
        <v>3</v>
      </c>
      <c r="D1560" s="8">
        <v>2.97</v>
      </c>
      <c r="E1560" s="4">
        <v>2</v>
      </c>
      <c r="F1560" s="8">
        <v>3.85</v>
      </c>
      <c r="G1560" s="4">
        <v>1</v>
      </c>
      <c r="H1560" s="8">
        <v>2.2200000000000002</v>
      </c>
      <c r="I1560" s="4">
        <v>0</v>
      </c>
    </row>
    <row r="1561" spans="1:9" x14ac:dyDescent="0.2">
      <c r="A1561" s="2">
        <v>7</v>
      </c>
      <c r="B1561" s="1" t="s">
        <v>173</v>
      </c>
      <c r="C1561" s="4">
        <v>3</v>
      </c>
      <c r="D1561" s="8">
        <v>2.97</v>
      </c>
      <c r="E1561" s="4">
        <v>3</v>
      </c>
      <c r="F1561" s="8">
        <v>5.77</v>
      </c>
      <c r="G1561" s="4">
        <v>0</v>
      </c>
      <c r="H1561" s="8">
        <v>0</v>
      </c>
      <c r="I1561" s="4">
        <v>0</v>
      </c>
    </row>
    <row r="1562" spans="1:9" x14ac:dyDescent="0.2">
      <c r="A1562" s="2">
        <v>11</v>
      </c>
      <c r="B1562" s="1" t="s">
        <v>232</v>
      </c>
      <c r="C1562" s="4">
        <v>2</v>
      </c>
      <c r="D1562" s="8">
        <v>1.98</v>
      </c>
      <c r="E1562" s="4">
        <v>0</v>
      </c>
      <c r="F1562" s="8">
        <v>0</v>
      </c>
      <c r="G1562" s="4">
        <v>2</v>
      </c>
      <c r="H1562" s="8">
        <v>4.4400000000000004</v>
      </c>
      <c r="I1562" s="4">
        <v>0</v>
      </c>
    </row>
    <row r="1563" spans="1:9" x14ac:dyDescent="0.2">
      <c r="A1563" s="2">
        <v>11</v>
      </c>
      <c r="B1563" s="1" t="s">
        <v>268</v>
      </c>
      <c r="C1563" s="4">
        <v>2</v>
      </c>
      <c r="D1563" s="8">
        <v>1.98</v>
      </c>
      <c r="E1563" s="4">
        <v>0</v>
      </c>
      <c r="F1563" s="8">
        <v>0</v>
      </c>
      <c r="G1563" s="4">
        <v>2</v>
      </c>
      <c r="H1563" s="8">
        <v>4.4400000000000004</v>
      </c>
      <c r="I1563" s="4">
        <v>0</v>
      </c>
    </row>
    <row r="1564" spans="1:9" x14ac:dyDescent="0.2">
      <c r="A1564" s="2">
        <v>11</v>
      </c>
      <c r="B1564" s="1" t="s">
        <v>186</v>
      </c>
      <c r="C1564" s="4">
        <v>2</v>
      </c>
      <c r="D1564" s="8">
        <v>1.98</v>
      </c>
      <c r="E1564" s="4">
        <v>0</v>
      </c>
      <c r="F1564" s="8">
        <v>0</v>
      </c>
      <c r="G1564" s="4">
        <v>2</v>
      </c>
      <c r="H1564" s="8">
        <v>4.4400000000000004</v>
      </c>
      <c r="I1564" s="4">
        <v>0</v>
      </c>
    </row>
    <row r="1565" spans="1:9" x14ac:dyDescent="0.2">
      <c r="A1565" s="2">
        <v>11</v>
      </c>
      <c r="B1565" s="1" t="s">
        <v>157</v>
      </c>
      <c r="C1565" s="4">
        <v>2</v>
      </c>
      <c r="D1565" s="8">
        <v>1.98</v>
      </c>
      <c r="E1565" s="4">
        <v>2</v>
      </c>
      <c r="F1565" s="8">
        <v>3.85</v>
      </c>
      <c r="G1565" s="4">
        <v>0</v>
      </c>
      <c r="H1565" s="8">
        <v>0</v>
      </c>
      <c r="I1565" s="4">
        <v>0</v>
      </c>
    </row>
    <row r="1566" spans="1:9" x14ac:dyDescent="0.2">
      <c r="A1566" s="2">
        <v>11</v>
      </c>
      <c r="B1566" s="1" t="s">
        <v>262</v>
      </c>
      <c r="C1566" s="4">
        <v>2</v>
      </c>
      <c r="D1566" s="8">
        <v>1.98</v>
      </c>
      <c r="E1566" s="4">
        <v>2</v>
      </c>
      <c r="F1566" s="8">
        <v>3.85</v>
      </c>
      <c r="G1566" s="4">
        <v>0</v>
      </c>
      <c r="H1566" s="8">
        <v>0</v>
      </c>
      <c r="I1566" s="4">
        <v>0</v>
      </c>
    </row>
    <row r="1567" spans="1:9" x14ac:dyDescent="0.2">
      <c r="A1567" s="2">
        <v>11</v>
      </c>
      <c r="B1567" s="1" t="s">
        <v>177</v>
      </c>
      <c r="C1567" s="4">
        <v>2</v>
      </c>
      <c r="D1567" s="8">
        <v>1.98</v>
      </c>
      <c r="E1567" s="4">
        <v>1</v>
      </c>
      <c r="F1567" s="8">
        <v>1.92</v>
      </c>
      <c r="G1567" s="4">
        <v>1</v>
      </c>
      <c r="H1567" s="8">
        <v>2.2200000000000002</v>
      </c>
      <c r="I1567" s="4">
        <v>0</v>
      </c>
    </row>
    <row r="1568" spans="1:9" x14ac:dyDescent="0.2">
      <c r="A1568" s="2">
        <v>11</v>
      </c>
      <c r="B1568" s="1" t="s">
        <v>160</v>
      </c>
      <c r="C1568" s="4">
        <v>2</v>
      </c>
      <c r="D1568" s="8">
        <v>1.98</v>
      </c>
      <c r="E1568" s="4">
        <v>1</v>
      </c>
      <c r="F1568" s="8">
        <v>1.92</v>
      </c>
      <c r="G1568" s="4">
        <v>1</v>
      </c>
      <c r="H1568" s="8">
        <v>2.2200000000000002</v>
      </c>
      <c r="I1568" s="4">
        <v>0</v>
      </c>
    </row>
    <row r="1569" spans="1:9" x14ac:dyDescent="0.2">
      <c r="A1569" s="2">
        <v>11</v>
      </c>
      <c r="B1569" s="1" t="s">
        <v>178</v>
      </c>
      <c r="C1569" s="4">
        <v>2</v>
      </c>
      <c r="D1569" s="8">
        <v>1.98</v>
      </c>
      <c r="E1569" s="4">
        <v>2</v>
      </c>
      <c r="F1569" s="8">
        <v>3.85</v>
      </c>
      <c r="G1569" s="4">
        <v>0</v>
      </c>
      <c r="H1569" s="8">
        <v>0</v>
      </c>
      <c r="I1569" s="4">
        <v>0</v>
      </c>
    </row>
    <row r="1570" spans="1:9" x14ac:dyDescent="0.2">
      <c r="A1570" s="2">
        <v>11</v>
      </c>
      <c r="B1570" s="1" t="s">
        <v>166</v>
      </c>
      <c r="C1570" s="4">
        <v>2</v>
      </c>
      <c r="D1570" s="8">
        <v>1.98</v>
      </c>
      <c r="E1570" s="4">
        <v>1</v>
      </c>
      <c r="F1570" s="8">
        <v>1.92</v>
      </c>
      <c r="G1570" s="4">
        <v>1</v>
      </c>
      <c r="H1570" s="8">
        <v>2.2200000000000002</v>
      </c>
      <c r="I1570" s="4">
        <v>0</v>
      </c>
    </row>
    <row r="1571" spans="1:9" x14ac:dyDescent="0.2">
      <c r="A1571" s="2">
        <v>11</v>
      </c>
      <c r="B1571" s="1" t="s">
        <v>245</v>
      </c>
      <c r="C1571" s="4">
        <v>2</v>
      </c>
      <c r="D1571" s="8">
        <v>1.98</v>
      </c>
      <c r="E1571" s="4">
        <v>2</v>
      </c>
      <c r="F1571" s="8">
        <v>3.85</v>
      </c>
      <c r="G1571" s="4">
        <v>0</v>
      </c>
      <c r="H1571" s="8">
        <v>0</v>
      </c>
      <c r="I1571" s="4">
        <v>0</v>
      </c>
    </row>
    <row r="1572" spans="1:9" x14ac:dyDescent="0.2">
      <c r="A1572" s="2">
        <v>11</v>
      </c>
      <c r="B1572" s="1" t="s">
        <v>182</v>
      </c>
      <c r="C1572" s="4">
        <v>2</v>
      </c>
      <c r="D1572" s="8">
        <v>1.98</v>
      </c>
      <c r="E1572" s="4">
        <v>1</v>
      </c>
      <c r="F1572" s="8">
        <v>1.92</v>
      </c>
      <c r="G1572" s="4">
        <v>1</v>
      </c>
      <c r="H1572" s="8">
        <v>2.2200000000000002</v>
      </c>
      <c r="I1572" s="4">
        <v>0</v>
      </c>
    </row>
    <row r="1573" spans="1:9" x14ac:dyDescent="0.2">
      <c r="A1573" s="2">
        <v>11</v>
      </c>
      <c r="B1573" s="1" t="s">
        <v>171</v>
      </c>
      <c r="C1573" s="4">
        <v>2</v>
      </c>
      <c r="D1573" s="8">
        <v>1.98</v>
      </c>
      <c r="E1573" s="4">
        <v>2</v>
      </c>
      <c r="F1573" s="8">
        <v>3.85</v>
      </c>
      <c r="G1573" s="4">
        <v>0</v>
      </c>
      <c r="H1573" s="8">
        <v>0</v>
      </c>
      <c r="I1573" s="4">
        <v>0</v>
      </c>
    </row>
    <row r="1574" spans="1:9" x14ac:dyDescent="0.2">
      <c r="A1574" s="2">
        <v>11</v>
      </c>
      <c r="B1574" s="1" t="s">
        <v>172</v>
      </c>
      <c r="C1574" s="4">
        <v>2</v>
      </c>
      <c r="D1574" s="8">
        <v>1.98</v>
      </c>
      <c r="E1574" s="4">
        <v>2</v>
      </c>
      <c r="F1574" s="8">
        <v>3.85</v>
      </c>
      <c r="G1574" s="4">
        <v>0</v>
      </c>
      <c r="H1574" s="8">
        <v>0</v>
      </c>
      <c r="I1574" s="4">
        <v>0</v>
      </c>
    </row>
    <row r="1575" spans="1:9" x14ac:dyDescent="0.2">
      <c r="A1575" s="1"/>
      <c r="C1575" s="4"/>
      <c r="D1575" s="8"/>
      <c r="E1575" s="4"/>
      <c r="F1575" s="8"/>
      <c r="G1575" s="4"/>
      <c r="H1575" s="8"/>
      <c r="I1575" s="4"/>
    </row>
    <row r="1576" spans="1:9" x14ac:dyDescent="0.2">
      <c r="A1576" s="1" t="s">
        <v>66</v>
      </c>
      <c r="C1576" s="4"/>
      <c r="D1576" s="8"/>
      <c r="E1576" s="4"/>
      <c r="F1576" s="8"/>
      <c r="G1576" s="4"/>
      <c r="H1576" s="8"/>
      <c r="I1576" s="4"/>
    </row>
    <row r="1577" spans="1:9" x14ac:dyDescent="0.2">
      <c r="A1577" s="2">
        <v>1</v>
      </c>
      <c r="B1577" s="1" t="s">
        <v>154</v>
      </c>
      <c r="C1577" s="4">
        <v>29</v>
      </c>
      <c r="D1577" s="8">
        <v>9.01</v>
      </c>
      <c r="E1577" s="4">
        <v>3</v>
      </c>
      <c r="F1577" s="8">
        <v>1.55</v>
      </c>
      <c r="G1577" s="4">
        <v>26</v>
      </c>
      <c r="H1577" s="8">
        <v>20.47</v>
      </c>
      <c r="I1577" s="4">
        <v>0</v>
      </c>
    </row>
    <row r="1578" spans="1:9" x14ac:dyDescent="0.2">
      <c r="A1578" s="2">
        <v>2</v>
      </c>
      <c r="B1578" s="1" t="s">
        <v>170</v>
      </c>
      <c r="C1578" s="4">
        <v>24</v>
      </c>
      <c r="D1578" s="8">
        <v>7.45</v>
      </c>
      <c r="E1578" s="4">
        <v>22</v>
      </c>
      <c r="F1578" s="8">
        <v>11.4</v>
      </c>
      <c r="G1578" s="4">
        <v>2</v>
      </c>
      <c r="H1578" s="8">
        <v>1.57</v>
      </c>
      <c r="I1578" s="4">
        <v>0</v>
      </c>
    </row>
    <row r="1579" spans="1:9" x14ac:dyDescent="0.2">
      <c r="A1579" s="2">
        <v>3</v>
      </c>
      <c r="B1579" s="1" t="s">
        <v>169</v>
      </c>
      <c r="C1579" s="4">
        <v>17</v>
      </c>
      <c r="D1579" s="8">
        <v>5.28</v>
      </c>
      <c r="E1579" s="4">
        <v>17</v>
      </c>
      <c r="F1579" s="8">
        <v>8.81</v>
      </c>
      <c r="G1579" s="4">
        <v>0</v>
      </c>
      <c r="H1579" s="8">
        <v>0</v>
      </c>
      <c r="I1579" s="4">
        <v>0</v>
      </c>
    </row>
    <row r="1580" spans="1:9" x14ac:dyDescent="0.2">
      <c r="A1580" s="2">
        <v>4</v>
      </c>
      <c r="B1580" s="1" t="s">
        <v>158</v>
      </c>
      <c r="C1580" s="4">
        <v>12</v>
      </c>
      <c r="D1580" s="8">
        <v>3.73</v>
      </c>
      <c r="E1580" s="4">
        <v>10</v>
      </c>
      <c r="F1580" s="8">
        <v>5.18</v>
      </c>
      <c r="G1580" s="4">
        <v>2</v>
      </c>
      <c r="H1580" s="8">
        <v>1.57</v>
      </c>
      <c r="I1580" s="4">
        <v>0</v>
      </c>
    </row>
    <row r="1581" spans="1:9" x14ac:dyDescent="0.2">
      <c r="A1581" s="2">
        <v>4</v>
      </c>
      <c r="B1581" s="1" t="s">
        <v>167</v>
      </c>
      <c r="C1581" s="4">
        <v>12</v>
      </c>
      <c r="D1581" s="8">
        <v>3.73</v>
      </c>
      <c r="E1581" s="4">
        <v>12</v>
      </c>
      <c r="F1581" s="8">
        <v>6.22</v>
      </c>
      <c r="G1581" s="4">
        <v>0</v>
      </c>
      <c r="H1581" s="8">
        <v>0</v>
      </c>
      <c r="I1581" s="4">
        <v>0</v>
      </c>
    </row>
    <row r="1582" spans="1:9" x14ac:dyDescent="0.2">
      <c r="A1582" s="2">
        <v>6</v>
      </c>
      <c r="B1582" s="1" t="s">
        <v>156</v>
      </c>
      <c r="C1582" s="4">
        <v>10</v>
      </c>
      <c r="D1582" s="8">
        <v>3.11</v>
      </c>
      <c r="E1582" s="4">
        <v>5</v>
      </c>
      <c r="F1582" s="8">
        <v>2.59</v>
      </c>
      <c r="G1582" s="4">
        <v>5</v>
      </c>
      <c r="H1582" s="8">
        <v>3.94</v>
      </c>
      <c r="I1582" s="4">
        <v>0</v>
      </c>
    </row>
    <row r="1583" spans="1:9" x14ac:dyDescent="0.2">
      <c r="A1583" s="2">
        <v>6</v>
      </c>
      <c r="B1583" s="1" t="s">
        <v>164</v>
      </c>
      <c r="C1583" s="4">
        <v>10</v>
      </c>
      <c r="D1583" s="8">
        <v>3.11</v>
      </c>
      <c r="E1583" s="4">
        <v>7</v>
      </c>
      <c r="F1583" s="8">
        <v>3.63</v>
      </c>
      <c r="G1583" s="4">
        <v>3</v>
      </c>
      <c r="H1583" s="8">
        <v>2.36</v>
      </c>
      <c r="I1583" s="4">
        <v>0</v>
      </c>
    </row>
    <row r="1584" spans="1:9" x14ac:dyDescent="0.2">
      <c r="A1584" s="2">
        <v>6</v>
      </c>
      <c r="B1584" s="1" t="s">
        <v>173</v>
      </c>
      <c r="C1584" s="4">
        <v>10</v>
      </c>
      <c r="D1584" s="8">
        <v>3.11</v>
      </c>
      <c r="E1584" s="4">
        <v>10</v>
      </c>
      <c r="F1584" s="8">
        <v>5.18</v>
      </c>
      <c r="G1584" s="4">
        <v>0</v>
      </c>
      <c r="H1584" s="8">
        <v>0</v>
      </c>
      <c r="I1584" s="4">
        <v>0</v>
      </c>
    </row>
    <row r="1585" spans="1:9" x14ac:dyDescent="0.2">
      <c r="A1585" s="2">
        <v>9</v>
      </c>
      <c r="B1585" s="1" t="s">
        <v>155</v>
      </c>
      <c r="C1585" s="4">
        <v>9</v>
      </c>
      <c r="D1585" s="8">
        <v>2.8</v>
      </c>
      <c r="E1585" s="4">
        <v>2</v>
      </c>
      <c r="F1585" s="8">
        <v>1.04</v>
      </c>
      <c r="G1585" s="4">
        <v>7</v>
      </c>
      <c r="H1585" s="8">
        <v>5.51</v>
      </c>
      <c r="I1585" s="4">
        <v>0</v>
      </c>
    </row>
    <row r="1586" spans="1:9" x14ac:dyDescent="0.2">
      <c r="A1586" s="2">
        <v>9</v>
      </c>
      <c r="B1586" s="1" t="s">
        <v>208</v>
      </c>
      <c r="C1586" s="4">
        <v>9</v>
      </c>
      <c r="D1586" s="8">
        <v>2.8</v>
      </c>
      <c r="E1586" s="4">
        <v>6</v>
      </c>
      <c r="F1586" s="8">
        <v>3.11</v>
      </c>
      <c r="G1586" s="4">
        <v>3</v>
      </c>
      <c r="H1586" s="8">
        <v>2.36</v>
      </c>
      <c r="I1586" s="4">
        <v>0</v>
      </c>
    </row>
    <row r="1587" spans="1:9" x14ac:dyDescent="0.2">
      <c r="A1587" s="2">
        <v>11</v>
      </c>
      <c r="B1587" s="1" t="s">
        <v>166</v>
      </c>
      <c r="C1587" s="4">
        <v>7</v>
      </c>
      <c r="D1587" s="8">
        <v>2.17</v>
      </c>
      <c r="E1587" s="4">
        <v>3</v>
      </c>
      <c r="F1587" s="8">
        <v>1.55</v>
      </c>
      <c r="G1587" s="4">
        <v>4</v>
      </c>
      <c r="H1587" s="8">
        <v>3.15</v>
      </c>
      <c r="I1587" s="4">
        <v>0</v>
      </c>
    </row>
    <row r="1588" spans="1:9" x14ac:dyDescent="0.2">
      <c r="A1588" s="2">
        <v>12</v>
      </c>
      <c r="B1588" s="1" t="s">
        <v>176</v>
      </c>
      <c r="C1588" s="4">
        <v>6</v>
      </c>
      <c r="D1588" s="8">
        <v>1.86</v>
      </c>
      <c r="E1588" s="4">
        <v>6</v>
      </c>
      <c r="F1588" s="8">
        <v>3.11</v>
      </c>
      <c r="G1588" s="4">
        <v>0</v>
      </c>
      <c r="H1588" s="8">
        <v>0</v>
      </c>
      <c r="I1588" s="4">
        <v>0</v>
      </c>
    </row>
    <row r="1589" spans="1:9" x14ac:dyDescent="0.2">
      <c r="A1589" s="2">
        <v>12</v>
      </c>
      <c r="B1589" s="1" t="s">
        <v>159</v>
      </c>
      <c r="C1589" s="4">
        <v>6</v>
      </c>
      <c r="D1589" s="8">
        <v>1.86</v>
      </c>
      <c r="E1589" s="4">
        <v>4</v>
      </c>
      <c r="F1589" s="8">
        <v>2.0699999999999998</v>
      </c>
      <c r="G1589" s="4">
        <v>2</v>
      </c>
      <c r="H1589" s="8">
        <v>1.57</v>
      </c>
      <c r="I1589" s="4">
        <v>0</v>
      </c>
    </row>
    <row r="1590" spans="1:9" x14ac:dyDescent="0.2">
      <c r="A1590" s="2">
        <v>14</v>
      </c>
      <c r="B1590" s="1" t="s">
        <v>181</v>
      </c>
      <c r="C1590" s="4">
        <v>5</v>
      </c>
      <c r="D1590" s="8">
        <v>1.55</v>
      </c>
      <c r="E1590" s="4">
        <v>5</v>
      </c>
      <c r="F1590" s="8">
        <v>2.59</v>
      </c>
      <c r="G1590" s="4">
        <v>0</v>
      </c>
      <c r="H1590" s="8">
        <v>0</v>
      </c>
      <c r="I1590" s="4">
        <v>0</v>
      </c>
    </row>
    <row r="1591" spans="1:9" x14ac:dyDescent="0.2">
      <c r="A1591" s="2">
        <v>14</v>
      </c>
      <c r="B1591" s="1" t="s">
        <v>160</v>
      </c>
      <c r="C1591" s="4">
        <v>5</v>
      </c>
      <c r="D1591" s="8">
        <v>1.55</v>
      </c>
      <c r="E1591" s="4">
        <v>3</v>
      </c>
      <c r="F1591" s="8">
        <v>1.55</v>
      </c>
      <c r="G1591" s="4">
        <v>2</v>
      </c>
      <c r="H1591" s="8">
        <v>1.57</v>
      </c>
      <c r="I1591" s="4">
        <v>0</v>
      </c>
    </row>
    <row r="1592" spans="1:9" x14ac:dyDescent="0.2">
      <c r="A1592" s="2">
        <v>14</v>
      </c>
      <c r="B1592" s="1" t="s">
        <v>161</v>
      </c>
      <c r="C1592" s="4">
        <v>5</v>
      </c>
      <c r="D1592" s="8">
        <v>1.55</v>
      </c>
      <c r="E1592" s="4">
        <v>4</v>
      </c>
      <c r="F1592" s="8">
        <v>2.0699999999999998</v>
      </c>
      <c r="G1592" s="4">
        <v>1</v>
      </c>
      <c r="H1592" s="8">
        <v>0.79</v>
      </c>
      <c r="I1592" s="4">
        <v>0</v>
      </c>
    </row>
    <row r="1593" spans="1:9" x14ac:dyDescent="0.2">
      <c r="A1593" s="2">
        <v>14</v>
      </c>
      <c r="B1593" s="1" t="s">
        <v>222</v>
      </c>
      <c r="C1593" s="4">
        <v>5</v>
      </c>
      <c r="D1593" s="8">
        <v>1.55</v>
      </c>
      <c r="E1593" s="4">
        <v>5</v>
      </c>
      <c r="F1593" s="8">
        <v>2.59</v>
      </c>
      <c r="G1593" s="4">
        <v>0</v>
      </c>
      <c r="H1593" s="8">
        <v>0</v>
      </c>
      <c r="I1593" s="4">
        <v>0</v>
      </c>
    </row>
    <row r="1594" spans="1:9" x14ac:dyDescent="0.2">
      <c r="A1594" s="2">
        <v>18</v>
      </c>
      <c r="B1594" s="1" t="s">
        <v>232</v>
      </c>
      <c r="C1594" s="4">
        <v>4</v>
      </c>
      <c r="D1594" s="8">
        <v>1.24</v>
      </c>
      <c r="E1594" s="4">
        <v>0</v>
      </c>
      <c r="F1594" s="8">
        <v>0</v>
      </c>
      <c r="G1594" s="4">
        <v>4</v>
      </c>
      <c r="H1594" s="8">
        <v>3.15</v>
      </c>
      <c r="I1594" s="4">
        <v>0</v>
      </c>
    </row>
    <row r="1595" spans="1:9" x14ac:dyDescent="0.2">
      <c r="A1595" s="2">
        <v>18</v>
      </c>
      <c r="B1595" s="1" t="s">
        <v>174</v>
      </c>
      <c r="C1595" s="4">
        <v>4</v>
      </c>
      <c r="D1595" s="8">
        <v>1.24</v>
      </c>
      <c r="E1595" s="4">
        <v>1</v>
      </c>
      <c r="F1595" s="8">
        <v>0.52</v>
      </c>
      <c r="G1595" s="4">
        <v>3</v>
      </c>
      <c r="H1595" s="8">
        <v>2.36</v>
      </c>
      <c r="I1595" s="4">
        <v>0</v>
      </c>
    </row>
    <row r="1596" spans="1:9" x14ac:dyDescent="0.2">
      <c r="A1596" s="2">
        <v>18</v>
      </c>
      <c r="B1596" s="1" t="s">
        <v>267</v>
      </c>
      <c r="C1596" s="4">
        <v>4</v>
      </c>
      <c r="D1596" s="8">
        <v>1.24</v>
      </c>
      <c r="E1596" s="4">
        <v>4</v>
      </c>
      <c r="F1596" s="8">
        <v>2.0699999999999998</v>
      </c>
      <c r="G1596" s="4">
        <v>0</v>
      </c>
      <c r="H1596" s="8">
        <v>0</v>
      </c>
      <c r="I1596" s="4">
        <v>0</v>
      </c>
    </row>
    <row r="1597" spans="1:9" x14ac:dyDescent="0.2">
      <c r="A1597" s="2">
        <v>18</v>
      </c>
      <c r="B1597" s="1" t="s">
        <v>205</v>
      </c>
      <c r="C1597" s="4">
        <v>4</v>
      </c>
      <c r="D1597" s="8">
        <v>1.24</v>
      </c>
      <c r="E1597" s="4">
        <v>2</v>
      </c>
      <c r="F1597" s="8">
        <v>1.04</v>
      </c>
      <c r="G1597" s="4">
        <v>2</v>
      </c>
      <c r="H1597" s="8">
        <v>1.57</v>
      </c>
      <c r="I1597" s="4">
        <v>0</v>
      </c>
    </row>
    <row r="1598" spans="1:9" x14ac:dyDescent="0.2">
      <c r="A1598" s="2">
        <v>18</v>
      </c>
      <c r="B1598" s="1" t="s">
        <v>182</v>
      </c>
      <c r="C1598" s="4">
        <v>4</v>
      </c>
      <c r="D1598" s="8">
        <v>1.24</v>
      </c>
      <c r="E1598" s="4">
        <v>1</v>
      </c>
      <c r="F1598" s="8">
        <v>0.52</v>
      </c>
      <c r="G1598" s="4">
        <v>3</v>
      </c>
      <c r="H1598" s="8">
        <v>2.36</v>
      </c>
      <c r="I1598" s="4">
        <v>0</v>
      </c>
    </row>
    <row r="1599" spans="1:9" x14ac:dyDescent="0.2">
      <c r="A1599" s="2">
        <v>18</v>
      </c>
      <c r="B1599" s="1" t="s">
        <v>171</v>
      </c>
      <c r="C1599" s="4">
        <v>4</v>
      </c>
      <c r="D1599" s="8">
        <v>1.24</v>
      </c>
      <c r="E1599" s="4">
        <v>4</v>
      </c>
      <c r="F1599" s="8">
        <v>2.0699999999999998</v>
      </c>
      <c r="G1599" s="4">
        <v>0</v>
      </c>
      <c r="H1599" s="8">
        <v>0</v>
      </c>
      <c r="I1599" s="4">
        <v>0</v>
      </c>
    </row>
    <row r="1600" spans="1:9" x14ac:dyDescent="0.2">
      <c r="A1600" s="2">
        <v>18</v>
      </c>
      <c r="B1600" s="1" t="s">
        <v>172</v>
      </c>
      <c r="C1600" s="4">
        <v>4</v>
      </c>
      <c r="D1600" s="8">
        <v>1.24</v>
      </c>
      <c r="E1600" s="4">
        <v>4</v>
      </c>
      <c r="F1600" s="8">
        <v>2.0699999999999998</v>
      </c>
      <c r="G1600" s="4">
        <v>0</v>
      </c>
      <c r="H1600" s="8">
        <v>0</v>
      </c>
      <c r="I1600" s="4">
        <v>0</v>
      </c>
    </row>
    <row r="1601" spans="1:9" x14ac:dyDescent="0.2">
      <c r="A1601" s="1"/>
      <c r="C1601" s="4"/>
      <c r="D1601" s="8"/>
      <c r="E1601" s="4"/>
      <c r="F1601" s="8"/>
      <c r="G1601" s="4"/>
      <c r="H1601" s="8"/>
      <c r="I1601" s="4"/>
    </row>
    <row r="1602" spans="1:9" x14ac:dyDescent="0.2">
      <c r="A1602" s="1" t="s">
        <v>67</v>
      </c>
      <c r="C1602" s="4"/>
      <c r="D1602" s="8"/>
      <c r="E1602" s="4"/>
      <c r="F1602" s="8"/>
      <c r="G1602" s="4"/>
      <c r="H1602" s="8"/>
      <c r="I1602" s="4"/>
    </row>
    <row r="1603" spans="1:9" x14ac:dyDescent="0.2">
      <c r="A1603" s="2">
        <v>1</v>
      </c>
      <c r="B1603" s="1" t="s">
        <v>154</v>
      </c>
      <c r="C1603" s="4">
        <v>18</v>
      </c>
      <c r="D1603" s="8">
        <v>18</v>
      </c>
      <c r="E1603" s="4">
        <v>7</v>
      </c>
      <c r="F1603" s="8">
        <v>12.28</v>
      </c>
      <c r="G1603" s="4">
        <v>11</v>
      </c>
      <c r="H1603" s="8">
        <v>28.21</v>
      </c>
      <c r="I1603" s="4">
        <v>0</v>
      </c>
    </row>
    <row r="1604" spans="1:9" x14ac:dyDescent="0.2">
      <c r="A1604" s="2">
        <v>2</v>
      </c>
      <c r="B1604" s="1" t="s">
        <v>170</v>
      </c>
      <c r="C1604" s="4">
        <v>7</v>
      </c>
      <c r="D1604" s="8">
        <v>7</v>
      </c>
      <c r="E1604" s="4">
        <v>5</v>
      </c>
      <c r="F1604" s="8">
        <v>8.77</v>
      </c>
      <c r="G1604" s="4">
        <v>2</v>
      </c>
      <c r="H1604" s="8">
        <v>5.13</v>
      </c>
      <c r="I1604" s="4">
        <v>0</v>
      </c>
    </row>
    <row r="1605" spans="1:9" x14ac:dyDescent="0.2">
      <c r="A1605" s="2">
        <v>3</v>
      </c>
      <c r="B1605" s="1" t="s">
        <v>186</v>
      </c>
      <c r="C1605" s="4">
        <v>5</v>
      </c>
      <c r="D1605" s="8">
        <v>5</v>
      </c>
      <c r="E1605" s="4">
        <v>3</v>
      </c>
      <c r="F1605" s="8">
        <v>5.26</v>
      </c>
      <c r="G1605" s="4">
        <v>2</v>
      </c>
      <c r="H1605" s="8">
        <v>5.13</v>
      </c>
      <c r="I1605" s="4">
        <v>0</v>
      </c>
    </row>
    <row r="1606" spans="1:9" x14ac:dyDescent="0.2">
      <c r="A1606" s="2">
        <v>3</v>
      </c>
      <c r="B1606" s="1" t="s">
        <v>161</v>
      </c>
      <c r="C1606" s="4">
        <v>5</v>
      </c>
      <c r="D1606" s="8">
        <v>5</v>
      </c>
      <c r="E1606" s="4">
        <v>5</v>
      </c>
      <c r="F1606" s="8">
        <v>8.77</v>
      </c>
      <c r="G1606" s="4">
        <v>0</v>
      </c>
      <c r="H1606" s="8">
        <v>0</v>
      </c>
      <c r="I1606" s="4">
        <v>0</v>
      </c>
    </row>
    <row r="1607" spans="1:9" x14ac:dyDescent="0.2">
      <c r="A1607" s="2">
        <v>3</v>
      </c>
      <c r="B1607" s="1" t="s">
        <v>169</v>
      </c>
      <c r="C1607" s="4">
        <v>5</v>
      </c>
      <c r="D1607" s="8">
        <v>5</v>
      </c>
      <c r="E1607" s="4">
        <v>5</v>
      </c>
      <c r="F1607" s="8">
        <v>8.77</v>
      </c>
      <c r="G1607" s="4">
        <v>0</v>
      </c>
      <c r="H1607" s="8">
        <v>0</v>
      </c>
      <c r="I1607" s="4">
        <v>0</v>
      </c>
    </row>
    <row r="1608" spans="1:9" x14ac:dyDescent="0.2">
      <c r="A1608" s="2">
        <v>6</v>
      </c>
      <c r="B1608" s="1" t="s">
        <v>232</v>
      </c>
      <c r="C1608" s="4">
        <v>4</v>
      </c>
      <c r="D1608" s="8">
        <v>4</v>
      </c>
      <c r="E1608" s="4">
        <v>3</v>
      </c>
      <c r="F1608" s="8">
        <v>5.26</v>
      </c>
      <c r="G1608" s="4">
        <v>1</v>
      </c>
      <c r="H1608" s="8">
        <v>2.56</v>
      </c>
      <c r="I1608" s="4">
        <v>0</v>
      </c>
    </row>
    <row r="1609" spans="1:9" x14ac:dyDescent="0.2">
      <c r="A1609" s="2">
        <v>6</v>
      </c>
      <c r="B1609" s="1" t="s">
        <v>159</v>
      </c>
      <c r="C1609" s="4">
        <v>4</v>
      </c>
      <c r="D1609" s="8">
        <v>4</v>
      </c>
      <c r="E1609" s="4">
        <v>2</v>
      </c>
      <c r="F1609" s="8">
        <v>3.51</v>
      </c>
      <c r="G1609" s="4">
        <v>2</v>
      </c>
      <c r="H1609" s="8">
        <v>5.13</v>
      </c>
      <c r="I1609" s="4">
        <v>0</v>
      </c>
    </row>
    <row r="1610" spans="1:9" x14ac:dyDescent="0.2">
      <c r="A1610" s="2">
        <v>6</v>
      </c>
      <c r="B1610" s="1" t="s">
        <v>182</v>
      </c>
      <c r="C1610" s="4">
        <v>4</v>
      </c>
      <c r="D1610" s="8">
        <v>4</v>
      </c>
      <c r="E1610" s="4">
        <v>3</v>
      </c>
      <c r="F1610" s="8">
        <v>5.26</v>
      </c>
      <c r="G1610" s="4">
        <v>1</v>
      </c>
      <c r="H1610" s="8">
        <v>2.56</v>
      </c>
      <c r="I1610" s="4">
        <v>0</v>
      </c>
    </row>
    <row r="1611" spans="1:9" x14ac:dyDescent="0.2">
      <c r="A1611" s="2">
        <v>6</v>
      </c>
      <c r="B1611" s="1" t="s">
        <v>173</v>
      </c>
      <c r="C1611" s="4">
        <v>4</v>
      </c>
      <c r="D1611" s="8">
        <v>4</v>
      </c>
      <c r="E1611" s="4">
        <v>4</v>
      </c>
      <c r="F1611" s="8">
        <v>7.02</v>
      </c>
      <c r="G1611" s="4">
        <v>0</v>
      </c>
      <c r="H1611" s="8">
        <v>0</v>
      </c>
      <c r="I1611" s="4">
        <v>0</v>
      </c>
    </row>
    <row r="1612" spans="1:9" x14ac:dyDescent="0.2">
      <c r="A1612" s="2">
        <v>10</v>
      </c>
      <c r="B1612" s="1" t="s">
        <v>202</v>
      </c>
      <c r="C1612" s="4">
        <v>3</v>
      </c>
      <c r="D1612" s="8">
        <v>3</v>
      </c>
      <c r="E1612" s="4">
        <v>1</v>
      </c>
      <c r="F1612" s="8">
        <v>1.75</v>
      </c>
      <c r="G1612" s="4">
        <v>2</v>
      </c>
      <c r="H1612" s="8">
        <v>5.13</v>
      </c>
      <c r="I1612" s="4">
        <v>0</v>
      </c>
    </row>
    <row r="1613" spans="1:9" x14ac:dyDescent="0.2">
      <c r="A1613" s="2">
        <v>10</v>
      </c>
      <c r="B1613" s="1" t="s">
        <v>160</v>
      </c>
      <c r="C1613" s="4">
        <v>3</v>
      </c>
      <c r="D1613" s="8">
        <v>3</v>
      </c>
      <c r="E1613" s="4">
        <v>2</v>
      </c>
      <c r="F1613" s="8">
        <v>3.51</v>
      </c>
      <c r="G1613" s="4">
        <v>1</v>
      </c>
      <c r="H1613" s="8">
        <v>2.56</v>
      </c>
      <c r="I1613" s="4">
        <v>0</v>
      </c>
    </row>
    <row r="1614" spans="1:9" x14ac:dyDescent="0.2">
      <c r="A1614" s="2">
        <v>12</v>
      </c>
      <c r="B1614" s="1" t="s">
        <v>155</v>
      </c>
      <c r="C1614" s="4">
        <v>2</v>
      </c>
      <c r="D1614" s="8">
        <v>2</v>
      </c>
      <c r="E1614" s="4">
        <v>2</v>
      </c>
      <c r="F1614" s="8">
        <v>3.51</v>
      </c>
      <c r="G1614" s="4">
        <v>0</v>
      </c>
      <c r="H1614" s="8">
        <v>0</v>
      </c>
      <c r="I1614" s="4">
        <v>0</v>
      </c>
    </row>
    <row r="1615" spans="1:9" x14ac:dyDescent="0.2">
      <c r="A1615" s="2">
        <v>12</v>
      </c>
      <c r="B1615" s="1" t="s">
        <v>174</v>
      </c>
      <c r="C1615" s="4">
        <v>2</v>
      </c>
      <c r="D1615" s="8">
        <v>2</v>
      </c>
      <c r="E1615" s="4">
        <v>1</v>
      </c>
      <c r="F1615" s="8">
        <v>1.75</v>
      </c>
      <c r="G1615" s="4">
        <v>1</v>
      </c>
      <c r="H1615" s="8">
        <v>2.56</v>
      </c>
      <c r="I1615" s="4">
        <v>0</v>
      </c>
    </row>
    <row r="1616" spans="1:9" x14ac:dyDescent="0.2">
      <c r="A1616" s="2">
        <v>12</v>
      </c>
      <c r="B1616" s="1" t="s">
        <v>269</v>
      </c>
      <c r="C1616" s="4">
        <v>2</v>
      </c>
      <c r="D1616" s="8">
        <v>2</v>
      </c>
      <c r="E1616" s="4">
        <v>0</v>
      </c>
      <c r="F1616" s="8">
        <v>0</v>
      </c>
      <c r="G1616" s="4">
        <v>0</v>
      </c>
      <c r="H1616" s="8">
        <v>0</v>
      </c>
      <c r="I1616" s="4">
        <v>0</v>
      </c>
    </row>
    <row r="1617" spans="1:9" x14ac:dyDescent="0.2">
      <c r="A1617" s="2">
        <v>12</v>
      </c>
      <c r="B1617" s="1" t="s">
        <v>181</v>
      </c>
      <c r="C1617" s="4">
        <v>2</v>
      </c>
      <c r="D1617" s="8">
        <v>2</v>
      </c>
      <c r="E1617" s="4">
        <v>2</v>
      </c>
      <c r="F1617" s="8">
        <v>3.51</v>
      </c>
      <c r="G1617" s="4">
        <v>0</v>
      </c>
      <c r="H1617" s="8">
        <v>0</v>
      </c>
      <c r="I1617" s="4">
        <v>0</v>
      </c>
    </row>
    <row r="1618" spans="1:9" x14ac:dyDescent="0.2">
      <c r="A1618" s="2">
        <v>12</v>
      </c>
      <c r="B1618" s="1" t="s">
        <v>158</v>
      </c>
      <c r="C1618" s="4">
        <v>2</v>
      </c>
      <c r="D1618" s="8">
        <v>2</v>
      </c>
      <c r="E1618" s="4">
        <v>2</v>
      </c>
      <c r="F1618" s="8">
        <v>3.51</v>
      </c>
      <c r="G1618" s="4">
        <v>0</v>
      </c>
      <c r="H1618" s="8">
        <v>0</v>
      </c>
      <c r="I1618" s="4">
        <v>0</v>
      </c>
    </row>
    <row r="1619" spans="1:9" x14ac:dyDescent="0.2">
      <c r="A1619" s="2">
        <v>12</v>
      </c>
      <c r="B1619" s="1" t="s">
        <v>259</v>
      </c>
      <c r="C1619" s="4">
        <v>2</v>
      </c>
      <c r="D1619" s="8">
        <v>2</v>
      </c>
      <c r="E1619" s="4">
        <v>2</v>
      </c>
      <c r="F1619" s="8">
        <v>3.51</v>
      </c>
      <c r="G1619" s="4">
        <v>0</v>
      </c>
      <c r="H1619" s="8">
        <v>0</v>
      </c>
      <c r="I1619" s="4">
        <v>0</v>
      </c>
    </row>
    <row r="1620" spans="1:9" x14ac:dyDescent="0.2">
      <c r="A1620" s="2">
        <v>12</v>
      </c>
      <c r="B1620" s="1" t="s">
        <v>270</v>
      </c>
      <c r="C1620" s="4">
        <v>2</v>
      </c>
      <c r="D1620" s="8">
        <v>2</v>
      </c>
      <c r="E1620" s="4">
        <v>0</v>
      </c>
      <c r="F1620" s="8">
        <v>0</v>
      </c>
      <c r="G1620" s="4">
        <v>2</v>
      </c>
      <c r="H1620" s="8">
        <v>5.13</v>
      </c>
      <c r="I1620" s="4">
        <v>0</v>
      </c>
    </row>
    <row r="1621" spans="1:9" x14ac:dyDescent="0.2">
      <c r="A1621" s="2">
        <v>12</v>
      </c>
      <c r="B1621" s="1" t="s">
        <v>245</v>
      </c>
      <c r="C1621" s="4">
        <v>2</v>
      </c>
      <c r="D1621" s="8">
        <v>2</v>
      </c>
      <c r="E1621" s="4">
        <v>1</v>
      </c>
      <c r="F1621" s="8">
        <v>1.75</v>
      </c>
      <c r="G1621" s="4">
        <v>1</v>
      </c>
      <c r="H1621" s="8">
        <v>2.56</v>
      </c>
      <c r="I1621" s="4">
        <v>0</v>
      </c>
    </row>
    <row r="1622" spans="1:9" x14ac:dyDescent="0.2">
      <c r="A1622" s="2">
        <v>12</v>
      </c>
      <c r="B1622" s="1" t="s">
        <v>204</v>
      </c>
      <c r="C1622" s="4">
        <v>2</v>
      </c>
      <c r="D1622" s="8">
        <v>2</v>
      </c>
      <c r="E1622" s="4">
        <v>0</v>
      </c>
      <c r="F1622" s="8">
        <v>0</v>
      </c>
      <c r="G1622" s="4">
        <v>2</v>
      </c>
      <c r="H1622" s="8">
        <v>5.13</v>
      </c>
      <c r="I1622" s="4">
        <v>0</v>
      </c>
    </row>
    <row r="1623" spans="1:9" x14ac:dyDescent="0.2">
      <c r="A1623" s="1"/>
      <c r="C1623" s="4"/>
      <c r="D1623" s="8"/>
      <c r="E1623" s="4"/>
      <c r="F1623" s="8"/>
      <c r="G1623" s="4"/>
      <c r="H1623" s="8"/>
      <c r="I1623" s="4"/>
    </row>
    <row r="1624" spans="1:9" x14ac:dyDescent="0.2">
      <c r="A1624" s="1" t="s">
        <v>68</v>
      </c>
      <c r="C1624" s="4"/>
      <c r="D1624" s="8"/>
      <c r="E1624" s="4"/>
      <c r="F1624" s="8"/>
      <c r="G1624" s="4"/>
      <c r="H1624" s="8"/>
      <c r="I1624" s="4"/>
    </row>
    <row r="1625" spans="1:9" x14ac:dyDescent="0.2">
      <c r="A1625" s="2">
        <v>1</v>
      </c>
      <c r="B1625" s="1" t="s">
        <v>154</v>
      </c>
      <c r="C1625" s="4">
        <v>12</v>
      </c>
      <c r="D1625" s="8">
        <v>16.22</v>
      </c>
      <c r="E1625" s="4">
        <v>8</v>
      </c>
      <c r="F1625" s="8">
        <v>15.38</v>
      </c>
      <c r="G1625" s="4">
        <v>4</v>
      </c>
      <c r="H1625" s="8">
        <v>20</v>
      </c>
      <c r="I1625" s="4">
        <v>0</v>
      </c>
    </row>
    <row r="1626" spans="1:9" x14ac:dyDescent="0.2">
      <c r="A1626" s="2">
        <v>2</v>
      </c>
      <c r="B1626" s="1" t="s">
        <v>158</v>
      </c>
      <c r="C1626" s="4">
        <v>7</v>
      </c>
      <c r="D1626" s="8">
        <v>9.4600000000000009</v>
      </c>
      <c r="E1626" s="4">
        <v>7</v>
      </c>
      <c r="F1626" s="8">
        <v>13.46</v>
      </c>
      <c r="G1626" s="4">
        <v>0</v>
      </c>
      <c r="H1626" s="8">
        <v>0</v>
      </c>
      <c r="I1626" s="4">
        <v>0</v>
      </c>
    </row>
    <row r="1627" spans="1:9" x14ac:dyDescent="0.2">
      <c r="A1627" s="2">
        <v>3</v>
      </c>
      <c r="B1627" s="1" t="s">
        <v>174</v>
      </c>
      <c r="C1627" s="4">
        <v>4</v>
      </c>
      <c r="D1627" s="8">
        <v>5.41</v>
      </c>
      <c r="E1627" s="4">
        <v>4</v>
      </c>
      <c r="F1627" s="8">
        <v>7.69</v>
      </c>
      <c r="G1627" s="4">
        <v>0</v>
      </c>
      <c r="H1627" s="8">
        <v>0</v>
      </c>
      <c r="I1627" s="4">
        <v>0</v>
      </c>
    </row>
    <row r="1628" spans="1:9" x14ac:dyDescent="0.2">
      <c r="A1628" s="2">
        <v>4</v>
      </c>
      <c r="B1628" s="1" t="s">
        <v>159</v>
      </c>
      <c r="C1628" s="4">
        <v>3</v>
      </c>
      <c r="D1628" s="8">
        <v>4.05</v>
      </c>
      <c r="E1628" s="4">
        <v>3</v>
      </c>
      <c r="F1628" s="8">
        <v>5.77</v>
      </c>
      <c r="G1628" s="4">
        <v>0</v>
      </c>
      <c r="H1628" s="8">
        <v>0</v>
      </c>
      <c r="I1628" s="4">
        <v>0</v>
      </c>
    </row>
    <row r="1629" spans="1:9" x14ac:dyDescent="0.2">
      <c r="A1629" s="2">
        <v>4</v>
      </c>
      <c r="B1629" s="1" t="s">
        <v>204</v>
      </c>
      <c r="C1629" s="4">
        <v>3</v>
      </c>
      <c r="D1629" s="8">
        <v>4.05</v>
      </c>
      <c r="E1629" s="4">
        <v>0</v>
      </c>
      <c r="F1629" s="8">
        <v>0</v>
      </c>
      <c r="G1629" s="4">
        <v>3</v>
      </c>
      <c r="H1629" s="8">
        <v>15</v>
      </c>
      <c r="I1629" s="4">
        <v>0</v>
      </c>
    </row>
    <row r="1630" spans="1:9" x14ac:dyDescent="0.2">
      <c r="A1630" s="2">
        <v>6</v>
      </c>
      <c r="B1630" s="1" t="s">
        <v>232</v>
      </c>
      <c r="C1630" s="4">
        <v>2</v>
      </c>
      <c r="D1630" s="8">
        <v>2.7</v>
      </c>
      <c r="E1630" s="4">
        <v>1</v>
      </c>
      <c r="F1630" s="8">
        <v>1.92</v>
      </c>
      <c r="G1630" s="4">
        <v>1</v>
      </c>
      <c r="H1630" s="8">
        <v>5</v>
      </c>
      <c r="I1630" s="4">
        <v>0</v>
      </c>
    </row>
    <row r="1631" spans="1:9" x14ac:dyDescent="0.2">
      <c r="A1631" s="2">
        <v>6</v>
      </c>
      <c r="B1631" s="1" t="s">
        <v>180</v>
      </c>
      <c r="C1631" s="4">
        <v>2</v>
      </c>
      <c r="D1631" s="8">
        <v>2.7</v>
      </c>
      <c r="E1631" s="4">
        <v>2</v>
      </c>
      <c r="F1631" s="8">
        <v>3.85</v>
      </c>
      <c r="G1631" s="4">
        <v>0</v>
      </c>
      <c r="H1631" s="8">
        <v>0</v>
      </c>
      <c r="I1631" s="4">
        <v>0</v>
      </c>
    </row>
    <row r="1632" spans="1:9" x14ac:dyDescent="0.2">
      <c r="A1632" s="2">
        <v>6</v>
      </c>
      <c r="B1632" s="1" t="s">
        <v>251</v>
      </c>
      <c r="C1632" s="4">
        <v>2</v>
      </c>
      <c r="D1632" s="8">
        <v>2.7</v>
      </c>
      <c r="E1632" s="4">
        <v>0</v>
      </c>
      <c r="F1632" s="8">
        <v>0</v>
      </c>
      <c r="G1632" s="4">
        <v>2</v>
      </c>
      <c r="H1632" s="8">
        <v>10</v>
      </c>
      <c r="I1632" s="4">
        <v>0</v>
      </c>
    </row>
    <row r="1633" spans="1:9" x14ac:dyDescent="0.2">
      <c r="A1633" s="2">
        <v>6</v>
      </c>
      <c r="B1633" s="1" t="s">
        <v>161</v>
      </c>
      <c r="C1633" s="4">
        <v>2</v>
      </c>
      <c r="D1633" s="8">
        <v>2.7</v>
      </c>
      <c r="E1633" s="4">
        <v>2</v>
      </c>
      <c r="F1633" s="8">
        <v>3.85</v>
      </c>
      <c r="G1633" s="4">
        <v>0</v>
      </c>
      <c r="H1633" s="8">
        <v>0</v>
      </c>
      <c r="I1633" s="4">
        <v>0</v>
      </c>
    </row>
    <row r="1634" spans="1:9" x14ac:dyDescent="0.2">
      <c r="A1634" s="2">
        <v>6</v>
      </c>
      <c r="B1634" s="1" t="s">
        <v>167</v>
      </c>
      <c r="C1634" s="4">
        <v>2</v>
      </c>
      <c r="D1634" s="8">
        <v>2.7</v>
      </c>
      <c r="E1634" s="4">
        <v>2</v>
      </c>
      <c r="F1634" s="8">
        <v>3.85</v>
      </c>
      <c r="G1634" s="4">
        <v>0</v>
      </c>
      <c r="H1634" s="8">
        <v>0</v>
      </c>
      <c r="I1634" s="4">
        <v>0</v>
      </c>
    </row>
    <row r="1635" spans="1:9" x14ac:dyDescent="0.2">
      <c r="A1635" s="2">
        <v>6</v>
      </c>
      <c r="B1635" s="1" t="s">
        <v>179</v>
      </c>
      <c r="C1635" s="4">
        <v>2</v>
      </c>
      <c r="D1635" s="8">
        <v>2.7</v>
      </c>
      <c r="E1635" s="4">
        <v>2</v>
      </c>
      <c r="F1635" s="8">
        <v>3.85</v>
      </c>
      <c r="G1635" s="4">
        <v>0</v>
      </c>
      <c r="H1635" s="8">
        <v>0</v>
      </c>
      <c r="I1635" s="4">
        <v>0</v>
      </c>
    </row>
    <row r="1636" spans="1:9" x14ac:dyDescent="0.2">
      <c r="A1636" s="2">
        <v>6</v>
      </c>
      <c r="B1636" s="1" t="s">
        <v>276</v>
      </c>
      <c r="C1636" s="4">
        <v>2</v>
      </c>
      <c r="D1636" s="8">
        <v>2.7</v>
      </c>
      <c r="E1636" s="4">
        <v>0</v>
      </c>
      <c r="F1636" s="8">
        <v>0</v>
      </c>
      <c r="G1636" s="4">
        <v>1</v>
      </c>
      <c r="H1636" s="8">
        <v>5</v>
      </c>
      <c r="I1636" s="4">
        <v>0</v>
      </c>
    </row>
    <row r="1637" spans="1:9" x14ac:dyDescent="0.2">
      <c r="A1637" s="2">
        <v>13</v>
      </c>
      <c r="B1637" s="1" t="s">
        <v>155</v>
      </c>
      <c r="C1637" s="4">
        <v>1</v>
      </c>
      <c r="D1637" s="8">
        <v>1.35</v>
      </c>
      <c r="E1637" s="4">
        <v>0</v>
      </c>
      <c r="F1637" s="8">
        <v>0</v>
      </c>
      <c r="G1637" s="4">
        <v>1</v>
      </c>
      <c r="H1637" s="8">
        <v>5</v>
      </c>
      <c r="I1637" s="4">
        <v>0</v>
      </c>
    </row>
    <row r="1638" spans="1:9" x14ac:dyDescent="0.2">
      <c r="A1638" s="2">
        <v>13</v>
      </c>
      <c r="B1638" s="1" t="s">
        <v>186</v>
      </c>
      <c r="C1638" s="4">
        <v>1</v>
      </c>
      <c r="D1638" s="8">
        <v>1.35</v>
      </c>
      <c r="E1638" s="4">
        <v>1</v>
      </c>
      <c r="F1638" s="8">
        <v>1.92</v>
      </c>
      <c r="G1638" s="4">
        <v>0</v>
      </c>
      <c r="H1638" s="8">
        <v>0</v>
      </c>
      <c r="I1638" s="4">
        <v>0</v>
      </c>
    </row>
    <row r="1639" spans="1:9" x14ac:dyDescent="0.2">
      <c r="A1639" s="2">
        <v>13</v>
      </c>
      <c r="B1639" s="1" t="s">
        <v>203</v>
      </c>
      <c r="C1639" s="4">
        <v>1</v>
      </c>
      <c r="D1639" s="8">
        <v>1.35</v>
      </c>
      <c r="E1639" s="4">
        <v>1</v>
      </c>
      <c r="F1639" s="8">
        <v>1.92</v>
      </c>
      <c r="G1639" s="4">
        <v>0</v>
      </c>
      <c r="H1639" s="8">
        <v>0</v>
      </c>
      <c r="I1639" s="4">
        <v>0</v>
      </c>
    </row>
    <row r="1640" spans="1:9" x14ac:dyDescent="0.2">
      <c r="A1640" s="2">
        <v>13</v>
      </c>
      <c r="B1640" s="1" t="s">
        <v>156</v>
      </c>
      <c r="C1640" s="4">
        <v>1</v>
      </c>
      <c r="D1640" s="8">
        <v>1.35</v>
      </c>
      <c r="E1640" s="4">
        <v>1</v>
      </c>
      <c r="F1640" s="8">
        <v>1.92</v>
      </c>
      <c r="G1640" s="4">
        <v>0</v>
      </c>
      <c r="H1640" s="8">
        <v>0</v>
      </c>
      <c r="I1640" s="4">
        <v>0</v>
      </c>
    </row>
    <row r="1641" spans="1:9" x14ac:dyDescent="0.2">
      <c r="A1641" s="2">
        <v>13</v>
      </c>
      <c r="B1641" s="1" t="s">
        <v>223</v>
      </c>
      <c r="C1641" s="4">
        <v>1</v>
      </c>
      <c r="D1641" s="8">
        <v>1.35</v>
      </c>
      <c r="E1641" s="4">
        <v>1</v>
      </c>
      <c r="F1641" s="8">
        <v>1.92</v>
      </c>
      <c r="G1641" s="4">
        <v>0</v>
      </c>
      <c r="H1641" s="8">
        <v>0</v>
      </c>
      <c r="I1641" s="4">
        <v>0</v>
      </c>
    </row>
    <row r="1642" spans="1:9" x14ac:dyDescent="0.2">
      <c r="A1642" s="2">
        <v>13</v>
      </c>
      <c r="B1642" s="1" t="s">
        <v>213</v>
      </c>
      <c r="C1642" s="4">
        <v>1</v>
      </c>
      <c r="D1642" s="8">
        <v>1.35</v>
      </c>
      <c r="E1642" s="4">
        <v>0</v>
      </c>
      <c r="F1642" s="8">
        <v>0</v>
      </c>
      <c r="G1642" s="4">
        <v>1</v>
      </c>
      <c r="H1642" s="8">
        <v>5</v>
      </c>
      <c r="I1642" s="4">
        <v>0</v>
      </c>
    </row>
    <row r="1643" spans="1:9" x14ac:dyDescent="0.2">
      <c r="A1643" s="2">
        <v>13</v>
      </c>
      <c r="B1643" s="1" t="s">
        <v>248</v>
      </c>
      <c r="C1643" s="4">
        <v>1</v>
      </c>
      <c r="D1643" s="8">
        <v>1.35</v>
      </c>
      <c r="E1643" s="4">
        <v>0</v>
      </c>
      <c r="F1643" s="8">
        <v>0</v>
      </c>
      <c r="G1643" s="4">
        <v>1</v>
      </c>
      <c r="H1643" s="8">
        <v>5</v>
      </c>
      <c r="I1643" s="4">
        <v>0</v>
      </c>
    </row>
    <row r="1644" spans="1:9" x14ac:dyDescent="0.2">
      <c r="A1644" s="2">
        <v>13</v>
      </c>
      <c r="B1644" s="1" t="s">
        <v>271</v>
      </c>
      <c r="C1644" s="4">
        <v>1</v>
      </c>
      <c r="D1644" s="8">
        <v>1.35</v>
      </c>
      <c r="E1644" s="4">
        <v>0</v>
      </c>
      <c r="F1644" s="8">
        <v>0</v>
      </c>
      <c r="G1644" s="4">
        <v>1</v>
      </c>
      <c r="H1644" s="8">
        <v>5</v>
      </c>
      <c r="I1644" s="4">
        <v>0</v>
      </c>
    </row>
    <row r="1645" spans="1:9" x14ac:dyDescent="0.2">
      <c r="A1645" s="2">
        <v>13</v>
      </c>
      <c r="B1645" s="1" t="s">
        <v>269</v>
      </c>
      <c r="C1645" s="4">
        <v>1</v>
      </c>
      <c r="D1645" s="8">
        <v>1.35</v>
      </c>
      <c r="E1645" s="4">
        <v>0</v>
      </c>
      <c r="F1645" s="8">
        <v>0</v>
      </c>
      <c r="G1645" s="4">
        <v>0</v>
      </c>
      <c r="H1645" s="8">
        <v>0</v>
      </c>
      <c r="I1645" s="4">
        <v>0</v>
      </c>
    </row>
    <row r="1646" spans="1:9" x14ac:dyDescent="0.2">
      <c r="A1646" s="2">
        <v>13</v>
      </c>
      <c r="B1646" s="1" t="s">
        <v>272</v>
      </c>
      <c r="C1646" s="4">
        <v>1</v>
      </c>
      <c r="D1646" s="8">
        <v>1.35</v>
      </c>
      <c r="E1646" s="4">
        <v>0</v>
      </c>
      <c r="F1646" s="8">
        <v>0</v>
      </c>
      <c r="G1646" s="4">
        <v>1</v>
      </c>
      <c r="H1646" s="8">
        <v>5</v>
      </c>
      <c r="I1646" s="4">
        <v>0</v>
      </c>
    </row>
    <row r="1647" spans="1:9" x14ac:dyDescent="0.2">
      <c r="A1647" s="2">
        <v>13</v>
      </c>
      <c r="B1647" s="1" t="s">
        <v>267</v>
      </c>
      <c r="C1647" s="4">
        <v>1</v>
      </c>
      <c r="D1647" s="8">
        <v>1.35</v>
      </c>
      <c r="E1647" s="4">
        <v>1</v>
      </c>
      <c r="F1647" s="8">
        <v>1.92</v>
      </c>
      <c r="G1647" s="4">
        <v>0</v>
      </c>
      <c r="H1647" s="8">
        <v>0</v>
      </c>
      <c r="I1647" s="4">
        <v>0</v>
      </c>
    </row>
    <row r="1648" spans="1:9" x14ac:dyDescent="0.2">
      <c r="A1648" s="2">
        <v>13</v>
      </c>
      <c r="B1648" s="1" t="s">
        <v>181</v>
      </c>
      <c r="C1648" s="4">
        <v>1</v>
      </c>
      <c r="D1648" s="8">
        <v>1.35</v>
      </c>
      <c r="E1648" s="4">
        <v>1</v>
      </c>
      <c r="F1648" s="8">
        <v>1.92</v>
      </c>
      <c r="G1648" s="4">
        <v>0</v>
      </c>
      <c r="H1648" s="8">
        <v>0</v>
      </c>
      <c r="I1648" s="4">
        <v>0</v>
      </c>
    </row>
    <row r="1649" spans="1:9" x14ac:dyDescent="0.2">
      <c r="A1649" s="2">
        <v>13</v>
      </c>
      <c r="B1649" s="1" t="s">
        <v>177</v>
      </c>
      <c r="C1649" s="4">
        <v>1</v>
      </c>
      <c r="D1649" s="8">
        <v>1.35</v>
      </c>
      <c r="E1649" s="4">
        <v>1</v>
      </c>
      <c r="F1649" s="8">
        <v>1.92</v>
      </c>
      <c r="G1649" s="4">
        <v>0</v>
      </c>
      <c r="H1649" s="8">
        <v>0</v>
      </c>
      <c r="I1649" s="4">
        <v>0</v>
      </c>
    </row>
    <row r="1650" spans="1:9" x14ac:dyDescent="0.2">
      <c r="A1650" s="2">
        <v>13</v>
      </c>
      <c r="B1650" s="1" t="s">
        <v>212</v>
      </c>
      <c r="C1650" s="4">
        <v>1</v>
      </c>
      <c r="D1650" s="8">
        <v>1.35</v>
      </c>
      <c r="E1650" s="4">
        <v>1</v>
      </c>
      <c r="F1650" s="8">
        <v>1.92</v>
      </c>
      <c r="G1650" s="4">
        <v>0</v>
      </c>
      <c r="H1650" s="8">
        <v>0</v>
      </c>
      <c r="I1650" s="4">
        <v>0</v>
      </c>
    </row>
    <row r="1651" spans="1:9" x14ac:dyDescent="0.2">
      <c r="A1651" s="2">
        <v>13</v>
      </c>
      <c r="B1651" s="1" t="s">
        <v>225</v>
      </c>
      <c r="C1651" s="4">
        <v>1</v>
      </c>
      <c r="D1651" s="8">
        <v>1.35</v>
      </c>
      <c r="E1651" s="4">
        <v>0</v>
      </c>
      <c r="F1651" s="8">
        <v>0</v>
      </c>
      <c r="G1651" s="4">
        <v>1</v>
      </c>
      <c r="H1651" s="8">
        <v>5</v>
      </c>
      <c r="I1651" s="4">
        <v>0</v>
      </c>
    </row>
    <row r="1652" spans="1:9" x14ac:dyDescent="0.2">
      <c r="A1652" s="2">
        <v>13</v>
      </c>
      <c r="B1652" s="1" t="s">
        <v>205</v>
      </c>
      <c r="C1652" s="4">
        <v>1</v>
      </c>
      <c r="D1652" s="8">
        <v>1.35</v>
      </c>
      <c r="E1652" s="4">
        <v>0</v>
      </c>
      <c r="F1652" s="8">
        <v>0</v>
      </c>
      <c r="G1652" s="4">
        <v>1</v>
      </c>
      <c r="H1652" s="8">
        <v>5</v>
      </c>
      <c r="I1652" s="4">
        <v>0</v>
      </c>
    </row>
    <row r="1653" spans="1:9" x14ac:dyDescent="0.2">
      <c r="A1653" s="2">
        <v>13</v>
      </c>
      <c r="B1653" s="1" t="s">
        <v>273</v>
      </c>
      <c r="C1653" s="4">
        <v>1</v>
      </c>
      <c r="D1653" s="8">
        <v>1.35</v>
      </c>
      <c r="E1653" s="4">
        <v>1</v>
      </c>
      <c r="F1653" s="8">
        <v>1.92</v>
      </c>
      <c r="G1653" s="4">
        <v>0</v>
      </c>
      <c r="H1653" s="8">
        <v>0</v>
      </c>
      <c r="I1653" s="4">
        <v>0</v>
      </c>
    </row>
    <row r="1654" spans="1:9" x14ac:dyDescent="0.2">
      <c r="A1654" s="2">
        <v>13</v>
      </c>
      <c r="B1654" s="1" t="s">
        <v>274</v>
      </c>
      <c r="C1654" s="4">
        <v>1</v>
      </c>
      <c r="D1654" s="8">
        <v>1.35</v>
      </c>
      <c r="E1654" s="4">
        <v>1</v>
      </c>
      <c r="F1654" s="8">
        <v>1.92</v>
      </c>
      <c r="G1654" s="4">
        <v>0</v>
      </c>
      <c r="H1654" s="8">
        <v>0</v>
      </c>
      <c r="I1654" s="4">
        <v>0</v>
      </c>
    </row>
    <row r="1655" spans="1:9" x14ac:dyDescent="0.2">
      <c r="A1655" s="2">
        <v>13</v>
      </c>
      <c r="B1655" s="1" t="s">
        <v>178</v>
      </c>
      <c r="C1655" s="4">
        <v>1</v>
      </c>
      <c r="D1655" s="8">
        <v>1.35</v>
      </c>
      <c r="E1655" s="4">
        <v>1</v>
      </c>
      <c r="F1655" s="8">
        <v>1.92</v>
      </c>
      <c r="G1655" s="4">
        <v>0</v>
      </c>
      <c r="H1655" s="8">
        <v>0</v>
      </c>
      <c r="I1655" s="4">
        <v>0</v>
      </c>
    </row>
    <row r="1656" spans="1:9" x14ac:dyDescent="0.2">
      <c r="A1656" s="2">
        <v>13</v>
      </c>
      <c r="B1656" s="1" t="s">
        <v>166</v>
      </c>
      <c r="C1656" s="4">
        <v>1</v>
      </c>
      <c r="D1656" s="8">
        <v>1.35</v>
      </c>
      <c r="E1656" s="4">
        <v>0</v>
      </c>
      <c r="F1656" s="8">
        <v>0</v>
      </c>
      <c r="G1656" s="4">
        <v>1</v>
      </c>
      <c r="H1656" s="8">
        <v>5</v>
      </c>
      <c r="I1656" s="4">
        <v>0</v>
      </c>
    </row>
    <row r="1657" spans="1:9" x14ac:dyDescent="0.2">
      <c r="A1657" s="2">
        <v>13</v>
      </c>
      <c r="B1657" s="1" t="s">
        <v>231</v>
      </c>
      <c r="C1657" s="4">
        <v>1</v>
      </c>
      <c r="D1657" s="8">
        <v>1.35</v>
      </c>
      <c r="E1657" s="4">
        <v>1</v>
      </c>
      <c r="F1657" s="8">
        <v>1.92</v>
      </c>
      <c r="G1657" s="4">
        <v>0</v>
      </c>
      <c r="H1657" s="8">
        <v>0</v>
      </c>
      <c r="I1657" s="4">
        <v>0</v>
      </c>
    </row>
    <row r="1658" spans="1:9" x14ac:dyDescent="0.2">
      <c r="A1658" s="2">
        <v>13</v>
      </c>
      <c r="B1658" s="1" t="s">
        <v>218</v>
      </c>
      <c r="C1658" s="4">
        <v>1</v>
      </c>
      <c r="D1658" s="8">
        <v>1.35</v>
      </c>
      <c r="E1658" s="4">
        <v>1</v>
      </c>
      <c r="F1658" s="8">
        <v>1.92</v>
      </c>
      <c r="G1658" s="4">
        <v>0</v>
      </c>
      <c r="H1658" s="8">
        <v>0</v>
      </c>
      <c r="I1658" s="4">
        <v>0</v>
      </c>
    </row>
    <row r="1659" spans="1:9" x14ac:dyDescent="0.2">
      <c r="A1659" s="2">
        <v>13</v>
      </c>
      <c r="B1659" s="1" t="s">
        <v>182</v>
      </c>
      <c r="C1659" s="4">
        <v>1</v>
      </c>
      <c r="D1659" s="8">
        <v>1.35</v>
      </c>
      <c r="E1659" s="4">
        <v>1</v>
      </c>
      <c r="F1659" s="8">
        <v>1.92</v>
      </c>
      <c r="G1659" s="4">
        <v>0</v>
      </c>
      <c r="H1659" s="8">
        <v>0</v>
      </c>
      <c r="I1659" s="4">
        <v>0</v>
      </c>
    </row>
    <row r="1660" spans="1:9" x14ac:dyDescent="0.2">
      <c r="A1660" s="2">
        <v>13</v>
      </c>
      <c r="B1660" s="1" t="s">
        <v>169</v>
      </c>
      <c r="C1660" s="4">
        <v>1</v>
      </c>
      <c r="D1660" s="8">
        <v>1.35</v>
      </c>
      <c r="E1660" s="4">
        <v>1</v>
      </c>
      <c r="F1660" s="8">
        <v>1.92</v>
      </c>
      <c r="G1660" s="4">
        <v>0</v>
      </c>
      <c r="H1660" s="8">
        <v>0</v>
      </c>
      <c r="I1660" s="4">
        <v>0</v>
      </c>
    </row>
    <row r="1661" spans="1:9" x14ac:dyDescent="0.2">
      <c r="A1661" s="2">
        <v>13</v>
      </c>
      <c r="B1661" s="1" t="s">
        <v>170</v>
      </c>
      <c r="C1661" s="4">
        <v>1</v>
      </c>
      <c r="D1661" s="8">
        <v>1.35</v>
      </c>
      <c r="E1661" s="4">
        <v>1</v>
      </c>
      <c r="F1661" s="8">
        <v>1.92</v>
      </c>
      <c r="G1661" s="4">
        <v>0</v>
      </c>
      <c r="H1661" s="8">
        <v>0</v>
      </c>
      <c r="I1661" s="4">
        <v>0</v>
      </c>
    </row>
    <row r="1662" spans="1:9" x14ac:dyDescent="0.2">
      <c r="A1662" s="2">
        <v>13</v>
      </c>
      <c r="B1662" s="1" t="s">
        <v>222</v>
      </c>
      <c r="C1662" s="4">
        <v>1</v>
      </c>
      <c r="D1662" s="8">
        <v>1.35</v>
      </c>
      <c r="E1662" s="4">
        <v>1</v>
      </c>
      <c r="F1662" s="8">
        <v>1.92</v>
      </c>
      <c r="G1662" s="4">
        <v>0</v>
      </c>
      <c r="H1662" s="8">
        <v>0</v>
      </c>
      <c r="I1662" s="4">
        <v>0</v>
      </c>
    </row>
    <row r="1663" spans="1:9" x14ac:dyDescent="0.2">
      <c r="A1663" s="2">
        <v>13</v>
      </c>
      <c r="B1663" s="1" t="s">
        <v>246</v>
      </c>
      <c r="C1663" s="4">
        <v>1</v>
      </c>
      <c r="D1663" s="8">
        <v>1.35</v>
      </c>
      <c r="E1663" s="4">
        <v>1</v>
      </c>
      <c r="F1663" s="8">
        <v>1.92</v>
      </c>
      <c r="G1663" s="4">
        <v>0</v>
      </c>
      <c r="H1663" s="8">
        <v>0</v>
      </c>
      <c r="I1663" s="4">
        <v>0</v>
      </c>
    </row>
    <row r="1664" spans="1:9" x14ac:dyDescent="0.2">
      <c r="A1664" s="2">
        <v>13</v>
      </c>
      <c r="B1664" s="1" t="s">
        <v>171</v>
      </c>
      <c r="C1664" s="4">
        <v>1</v>
      </c>
      <c r="D1664" s="8">
        <v>1.35</v>
      </c>
      <c r="E1664" s="4">
        <v>1</v>
      </c>
      <c r="F1664" s="8">
        <v>1.92</v>
      </c>
      <c r="G1664" s="4">
        <v>0</v>
      </c>
      <c r="H1664" s="8">
        <v>0</v>
      </c>
      <c r="I1664" s="4">
        <v>0</v>
      </c>
    </row>
    <row r="1665" spans="1:9" x14ac:dyDescent="0.2">
      <c r="A1665" s="2">
        <v>13</v>
      </c>
      <c r="B1665" s="1" t="s">
        <v>275</v>
      </c>
      <c r="C1665" s="4">
        <v>1</v>
      </c>
      <c r="D1665" s="8">
        <v>1.35</v>
      </c>
      <c r="E1665" s="4">
        <v>1</v>
      </c>
      <c r="F1665" s="8">
        <v>1.92</v>
      </c>
      <c r="G1665" s="4">
        <v>0</v>
      </c>
      <c r="H1665" s="8">
        <v>0</v>
      </c>
      <c r="I1665" s="4">
        <v>0</v>
      </c>
    </row>
    <row r="1666" spans="1:9" x14ac:dyDescent="0.2">
      <c r="A1666" s="2">
        <v>13</v>
      </c>
      <c r="B1666" s="1" t="s">
        <v>226</v>
      </c>
      <c r="C1666" s="4">
        <v>1</v>
      </c>
      <c r="D1666" s="8">
        <v>1.35</v>
      </c>
      <c r="E1666" s="4">
        <v>0</v>
      </c>
      <c r="F1666" s="8">
        <v>0</v>
      </c>
      <c r="G1666" s="4">
        <v>1</v>
      </c>
      <c r="H1666" s="8">
        <v>5</v>
      </c>
      <c r="I1666" s="4">
        <v>0</v>
      </c>
    </row>
    <row r="1667" spans="1:9" x14ac:dyDescent="0.2">
      <c r="A1667" s="2">
        <v>13</v>
      </c>
      <c r="B1667" s="1" t="s">
        <v>277</v>
      </c>
      <c r="C1667" s="4">
        <v>1</v>
      </c>
      <c r="D1667" s="8">
        <v>1.35</v>
      </c>
      <c r="E1667" s="4">
        <v>1</v>
      </c>
      <c r="F1667" s="8">
        <v>1.92</v>
      </c>
      <c r="G1667" s="4">
        <v>0</v>
      </c>
      <c r="H1667" s="8">
        <v>0</v>
      </c>
      <c r="I1667" s="4">
        <v>0</v>
      </c>
    </row>
    <row r="1668" spans="1:9" x14ac:dyDescent="0.2">
      <c r="A1668" s="1"/>
      <c r="C1668" s="4"/>
      <c r="D1668" s="8"/>
      <c r="E1668" s="4"/>
      <c r="F1668" s="8"/>
      <c r="G1668" s="4"/>
      <c r="H1668" s="8"/>
      <c r="I1668" s="4"/>
    </row>
    <row r="1669" spans="1:9" x14ac:dyDescent="0.2">
      <c r="A1669" s="1" t="s">
        <v>69</v>
      </c>
      <c r="C1669" s="4"/>
      <c r="D1669" s="8"/>
      <c r="E1669" s="4"/>
      <c r="F1669" s="8"/>
      <c r="G1669" s="4"/>
      <c r="H1669" s="8"/>
      <c r="I1669" s="4"/>
    </row>
    <row r="1670" spans="1:9" x14ac:dyDescent="0.2">
      <c r="A1670" s="2">
        <v>1</v>
      </c>
      <c r="B1670" s="1" t="s">
        <v>154</v>
      </c>
      <c r="C1670" s="4">
        <v>40</v>
      </c>
      <c r="D1670" s="8">
        <v>10.050000000000001</v>
      </c>
      <c r="E1670" s="4">
        <v>9</v>
      </c>
      <c r="F1670" s="8">
        <v>3.67</v>
      </c>
      <c r="G1670" s="4">
        <v>31</v>
      </c>
      <c r="H1670" s="8">
        <v>21.68</v>
      </c>
      <c r="I1670" s="4">
        <v>0</v>
      </c>
    </row>
    <row r="1671" spans="1:9" x14ac:dyDescent="0.2">
      <c r="A1671" s="2">
        <v>2</v>
      </c>
      <c r="B1671" s="1" t="s">
        <v>259</v>
      </c>
      <c r="C1671" s="4">
        <v>23</v>
      </c>
      <c r="D1671" s="8">
        <v>5.78</v>
      </c>
      <c r="E1671" s="4">
        <v>22</v>
      </c>
      <c r="F1671" s="8">
        <v>8.98</v>
      </c>
      <c r="G1671" s="4">
        <v>1</v>
      </c>
      <c r="H1671" s="8">
        <v>0.7</v>
      </c>
      <c r="I1671" s="4">
        <v>0</v>
      </c>
    </row>
    <row r="1672" spans="1:9" x14ac:dyDescent="0.2">
      <c r="A1672" s="2">
        <v>3</v>
      </c>
      <c r="B1672" s="1" t="s">
        <v>170</v>
      </c>
      <c r="C1672" s="4">
        <v>16</v>
      </c>
      <c r="D1672" s="8">
        <v>4.0199999999999996</v>
      </c>
      <c r="E1672" s="4">
        <v>16</v>
      </c>
      <c r="F1672" s="8">
        <v>6.53</v>
      </c>
      <c r="G1672" s="4">
        <v>0</v>
      </c>
      <c r="H1672" s="8">
        <v>0</v>
      </c>
      <c r="I1672" s="4">
        <v>0</v>
      </c>
    </row>
    <row r="1673" spans="1:9" x14ac:dyDescent="0.2">
      <c r="A1673" s="2">
        <v>4</v>
      </c>
      <c r="B1673" s="1" t="s">
        <v>169</v>
      </c>
      <c r="C1673" s="4">
        <v>14</v>
      </c>
      <c r="D1673" s="8">
        <v>3.52</v>
      </c>
      <c r="E1673" s="4">
        <v>13</v>
      </c>
      <c r="F1673" s="8">
        <v>5.31</v>
      </c>
      <c r="G1673" s="4">
        <v>1</v>
      </c>
      <c r="H1673" s="8">
        <v>0.7</v>
      </c>
      <c r="I1673" s="4">
        <v>0</v>
      </c>
    </row>
    <row r="1674" spans="1:9" x14ac:dyDescent="0.2">
      <c r="A1674" s="2">
        <v>4</v>
      </c>
      <c r="B1674" s="1" t="s">
        <v>173</v>
      </c>
      <c r="C1674" s="4">
        <v>14</v>
      </c>
      <c r="D1674" s="8">
        <v>3.52</v>
      </c>
      <c r="E1674" s="4">
        <v>14</v>
      </c>
      <c r="F1674" s="8">
        <v>5.71</v>
      </c>
      <c r="G1674" s="4">
        <v>0</v>
      </c>
      <c r="H1674" s="8">
        <v>0</v>
      </c>
      <c r="I1674" s="4">
        <v>0</v>
      </c>
    </row>
    <row r="1675" spans="1:9" x14ac:dyDescent="0.2">
      <c r="A1675" s="2">
        <v>6</v>
      </c>
      <c r="B1675" s="1" t="s">
        <v>155</v>
      </c>
      <c r="C1675" s="4">
        <v>12</v>
      </c>
      <c r="D1675" s="8">
        <v>3.02</v>
      </c>
      <c r="E1675" s="4">
        <v>6</v>
      </c>
      <c r="F1675" s="8">
        <v>2.4500000000000002</v>
      </c>
      <c r="G1675" s="4">
        <v>6</v>
      </c>
      <c r="H1675" s="8">
        <v>4.2</v>
      </c>
      <c r="I1675" s="4">
        <v>0</v>
      </c>
    </row>
    <row r="1676" spans="1:9" x14ac:dyDescent="0.2">
      <c r="A1676" s="2">
        <v>7</v>
      </c>
      <c r="B1676" s="1" t="s">
        <v>166</v>
      </c>
      <c r="C1676" s="4">
        <v>10</v>
      </c>
      <c r="D1676" s="8">
        <v>2.5099999999999998</v>
      </c>
      <c r="E1676" s="4">
        <v>10</v>
      </c>
      <c r="F1676" s="8">
        <v>4.08</v>
      </c>
      <c r="G1676" s="4">
        <v>0</v>
      </c>
      <c r="H1676" s="8">
        <v>0</v>
      </c>
      <c r="I1676" s="4">
        <v>0</v>
      </c>
    </row>
    <row r="1677" spans="1:9" x14ac:dyDescent="0.2">
      <c r="A1677" s="2">
        <v>8</v>
      </c>
      <c r="B1677" s="1" t="s">
        <v>158</v>
      </c>
      <c r="C1677" s="4">
        <v>9</v>
      </c>
      <c r="D1677" s="8">
        <v>2.2599999999999998</v>
      </c>
      <c r="E1677" s="4">
        <v>9</v>
      </c>
      <c r="F1677" s="8">
        <v>3.67</v>
      </c>
      <c r="G1677" s="4">
        <v>0</v>
      </c>
      <c r="H1677" s="8">
        <v>0</v>
      </c>
      <c r="I1677" s="4">
        <v>0</v>
      </c>
    </row>
    <row r="1678" spans="1:9" x14ac:dyDescent="0.2">
      <c r="A1678" s="2">
        <v>9</v>
      </c>
      <c r="B1678" s="1" t="s">
        <v>232</v>
      </c>
      <c r="C1678" s="4">
        <v>7</v>
      </c>
      <c r="D1678" s="8">
        <v>1.76</v>
      </c>
      <c r="E1678" s="4">
        <v>3</v>
      </c>
      <c r="F1678" s="8">
        <v>1.22</v>
      </c>
      <c r="G1678" s="4">
        <v>4</v>
      </c>
      <c r="H1678" s="8">
        <v>2.8</v>
      </c>
      <c r="I1678" s="4">
        <v>0</v>
      </c>
    </row>
    <row r="1679" spans="1:9" x14ac:dyDescent="0.2">
      <c r="A1679" s="2">
        <v>9</v>
      </c>
      <c r="B1679" s="1" t="s">
        <v>156</v>
      </c>
      <c r="C1679" s="4">
        <v>7</v>
      </c>
      <c r="D1679" s="8">
        <v>1.76</v>
      </c>
      <c r="E1679" s="4">
        <v>4</v>
      </c>
      <c r="F1679" s="8">
        <v>1.63</v>
      </c>
      <c r="G1679" s="4">
        <v>3</v>
      </c>
      <c r="H1679" s="8">
        <v>2.1</v>
      </c>
      <c r="I1679" s="4">
        <v>0</v>
      </c>
    </row>
    <row r="1680" spans="1:9" x14ac:dyDescent="0.2">
      <c r="A1680" s="2">
        <v>9</v>
      </c>
      <c r="B1680" s="1" t="s">
        <v>174</v>
      </c>
      <c r="C1680" s="4">
        <v>7</v>
      </c>
      <c r="D1680" s="8">
        <v>1.76</v>
      </c>
      <c r="E1680" s="4">
        <v>5</v>
      </c>
      <c r="F1680" s="8">
        <v>2.04</v>
      </c>
      <c r="G1680" s="4">
        <v>2</v>
      </c>
      <c r="H1680" s="8">
        <v>1.4</v>
      </c>
      <c r="I1680" s="4">
        <v>0</v>
      </c>
    </row>
    <row r="1681" spans="1:9" x14ac:dyDescent="0.2">
      <c r="A1681" s="2">
        <v>9</v>
      </c>
      <c r="B1681" s="1" t="s">
        <v>159</v>
      </c>
      <c r="C1681" s="4">
        <v>7</v>
      </c>
      <c r="D1681" s="8">
        <v>1.76</v>
      </c>
      <c r="E1681" s="4">
        <v>7</v>
      </c>
      <c r="F1681" s="8">
        <v>2.86</v>
      </c>
      <c r="G1681" s="4">
        <v>0</v>
      </c>
      <c r="H1681" s="8">
        <v>0</v>
      </c>
      <c r="I1681" s="4">
        <v>0</v>
      </c>
    </row>
    <row r="1682" spans="1:9" x14ac:dyDescent="0.2">
      <c r="A1682" s="2">
        <v>9</v>
      </c>
      <c r="B1682" s="1" t="s">
        <v>160</v>
      </c>
      <c r="C1682" s="4">
        <v>7</v>
      </c>
      <c r="D1682" s="8">
        <v>1.76</v>
      </c>
      <c r="E1682" s="4">
        <v>6</v>
      </c>
      <c r="F1682" s="8">
        <v>2.4500000000000002</v>
      </c>
      <c r="G1682" s="4">
        <v>1</v>
      </c>
      <c r="H1682" s="8">
        <v>0.7</v>
      </c>
      <c r="I1682" s="4">
        <v>0</v>
      </c>
    </row>
    <row r="1683" spans="1:9" x14ac:dyDescent="0.2">
      <c r="A1683" s="2">
        <v>14</v>
      </c>
      <c r="B1683" s="1" t="s">
        <v>180</v>
      </c>
      <c r="C1683" s="4">
        <v>6</v>
      </c>
      <c r="D1683" s="8">
        <v>1.51</v>
      </c>
      <c r="E1683" s="4">
        <v>1</v>
      </c>
      <c r="F1683" s="8">
        <v>0.41</v>
      </c>
      <c r="G1683" s="4">
        <v>5</v>
      </c>
      <c r="H1683" s="8">
        <v>3.5</v>
      </c>
      <c r="I1683" s="4">
        <v>0</v>
      </c>
    </row>
    <row r="1684" spans="1:9" x14ac:dyDescent="0.2">
      <c r="A1684" s="2">
        <v>14</v>
      </c>
      <c r="B1684" s="1" t="s">
        <v>208</v>
      </c>
      <c r="C1684" s="4">
        <v>6</v>
      </c>
      <c r="D1684" s="8">
        <v>1.51</v>
      </c>
      <c r="E1684" s="4">
        <v>6</v>
      </c>
      <c r="F1684" s="8">
        <v>2.4500000000000002</v>
      </c>
      <c r="G1684" s="4">
        <v>0</v>
      </c>
      <c r="H1684" s="8">
        <v>0</v>
      </c>
      <c r="I1684" s="4">
        <v>0</v>
      </c>
    </row>
    <row r="1685" spans="1:9" x14ac:dyDescent="0.2">
      <c r="A1685" s="2">
        <v>14</v>
      </c>
      <c r="B1685" s="1" t="s">
        <v>205</v>
      </c>
      <c r="C1685" s="4">
        <v>6</v>
      </c>
      <c r="D1685" s="8">
        <v>1.51</v>
      </c>
      <c r="E1685" s="4">
        <v>2</v>
      </c>
      <c r="F1685" s="8">
        <v>0.82</v>
      </c>
      <c r="G1685" s="4">
        <v>4</v>
      </c>
      <c r="H1685" s="8">
        <v>2.8</v>
      </c>
      <c r="I1685" s="4">
        <v>0</v>
      </c>
    </row>
    <row r="1686" spans="1:9" x14ac:dyDescent="0.2">
      <c r="A1686" s="2">
        <v>14</v>
      </c>
      <c r="B1686" s="1" t="s">
        <v>179</v>
      </c>
      <c r="C1686" s="4">
        <v>6</v>
      </c>
      <c r="D1686" s="8">
        <v>1.51</v>
      </c>
      <c r="E1686" s="4">
        <v>5</v>
      </c>
      <c r="F1686" s="8">
        <v>2.04</v>
      </c>
      <c r="G1686" s="4">
        <v>1</v>
      </c>
      <c r="H1686" s="8">
        <v>0.7</v>
      </c>
      <c r="I1686" s="4">
        <v>0</v>
      </c>
    </row>
    <row r="1687" spans="1:9" x14ac:dyDescent="0.2">
      <c r="A1687" s="2">
        <v>18</v>
      </c>
      <c r="B1687" s="1" t="s">
        <v>157</v>
      </c>
      <c r="C1687" s="4">
        <v>5</v>
      </c>
      <c r="D1687" s="8">
        <v>1.26</v>
      </c>
      <c r="E1687" s="4">
        <v>4</v>
      </c>
      <c r="F1687" s="8">
        <v>1.63</v>
      </c>
      <c r="G1687" s="4">
        <v>1</v>
      </c>
      <c r="H1687" s="8">
        <v>0.7</v>
      </c>
      <c r="I1687" s="4">
        <v>0</v>
      </c>
    </row>
    <row r="1688" spans="1:9" x14ac:dyDescent="0.2">
      <c r="A1688" s="2">
        <v>18</v>
      </c>
      <c r="B1688" s="1" t="s">
        <v>181</v>
      </c>
      <c r="C1688" s="4">
        <v>5</v>
      </c>
      <c r="D1688" s="8">
        <v>1.26</v>
      </c>
      <c r="E1688" s="4">
        <v>5</v>
      </c>
      <c r="F1688" s="8">
        <v>2.04</v>
      </c>
      <c r="G1688" s="4">
        <v>0</v>
      </c>
      <c r="H1688" s="8">
        <v>0</v>
      </c>
      <c r="I1688" s="4">
        <v>0</v>
      </c>
    </row>
    <row r="1689" spans="1:9" x14ac:dyDescent="0.2">
      <c r="A1689" s="2">
        <v>18</v>
      </c>
      <c r="B1689" s="1" t="s">
        <v>177</v>
      </c>
      <c r="C1689" s="4">
        <v>5</v>
      </c>
      <c r="D1689" s="8">
        <v>1.26</v>
      </c>
      <c r="E1689" s="4">
        <v>5</v>
      </c>
      <c r="F1689" s="8">
        <v>2.04</v>
      </c>
      <c r="G1689" s="4">
        <v>0</v>
      </c>
      <c r="H1689" s="8">
        <v>0</v>
      </c>
      <c r="I1689" s="4">
        <v>0</v>
      </c>
    </row>
    <row r="1690" spans="1:9" x14ac:dyDescent="0.2">
      <c r="A1690" s="2">
        <v>18</v>
      </c>
      <c r="B1690" s="1" t="s">
        <v>161</v>
      </c>
      <c r="C1690" s="4">
        <v>5</v>
      </c>
      <c r="D1690" s="8">
        <v>1.26</v>
      </c>
      <c r="E1690" s="4">
        <v>2</v>
      </c>
      <c r="F1690" s="8">
        <v>0.82</v>
      </c>
      <c r="G1690" s="4">
        <v>3</v>
      </c>
      <c r="H1690" s="8">
        <v>2.1</v>
      </c>
      <c r="I1690" s="4">
        <v>0</v>
      </c>
    </row>
    <row r="1691" spans="1:9" x14ac:dyDescent="0.2">
      <c r="A1691" s="2">
        <v>18</v>
      </c>
      <c r="B1691" s="1" t="s">
        <v>192</v>
      </c>
      <c r="C1691" s="4">
        <v>5</v>
      </c>
      <c r="D1691" s="8">
        <v>1.26</v>
      </c>
      <c r="E1691" s="4">
        <v>5</v>
      </c>
      <c r="F1691" s="8">
        <v>2.04</v>
      </c>
      <c r="G1691" s="4">
        <v>0</v>
      </c>
      <c r="H1691" s="8">
        <v>0</v>
      </c>
      <c r="I1691" s="4">
        <v>0</v>
      </c>
    </row>
    <row r="1692" spans="1:9" x14ac:dyDescent="0.2">
      <c r="A1692" s="2">
        <v>18</v>
      </c>
      <c r="B1692" s="1" t="s">
        <v>164</v>
      </c>
      <c r="C1692" s="4">
        <v>5</v>
      </c>
      <c r="D1692" s="8">
        <v>1.26</v>
      </c>
      <c r="E1692" s="4">
        <v>0</v>
      </c>
      <c r="F1692" s="8">
        <v>0</v>
      </c>
      <c r="G1692" s="4">
        <v>5</v>
      </c>
      <c r="H1692" s="8">
        <v>3.5</v>
      </c>
      <c r="I1692" s="4">
        <v>0</v>
      </c>
    </row>
    <row r="1693" spans="1:9" x14ac:dyDescent="0.2">
      <c r="A1693" s="2">
        <v>18</v>
      </c>
      <c r="B1693" s="1" t="s">
        <v>182</v>
      </c>
      <c r="C1693" s="4">
        <v>5</v>
      </c>
      <c r="D1693" s="8">
        <v>1.26</v>
      </c>
      <c r="E1693" s="4">
        <v>3</v>
      </c>
      <c r="F1693" s="8">
        <v>1.22</v>
      </c>
      <c r="G1693" s="4">
        <v>2</v>
      </c>
      <c r="H1693" s="8">
        <v>1.4</v>
      </c>
      <c r="I1693" s="4">
        <v>0</v>
      </c>
    </row>
    <row r="1694" spans="1:9" x14ac:dyDescent="0.2">
      <c r="A1694" s="2">
        <v>18</v>
      </c>
      <c r="B1694" s="1" t="s">
        <v>278</v>
      </c>
      <c r="C1694" s="4">
        <v>5</v>
      </c>
      <c r="D1694" s="8">
        <v>1.26</v>
      </c>
      <c r="E1694" s="4">
        <v>4</v>
      </c>
      <c r="F1694" s="8">
        <v>1.63</v>
      </c>
      <c r="G1694" s="4">
        <v>1</v>
      </c>
      <c r="H1694" s="8">
        <v>0.7</v>
      </c>
      <c r="I1694" s="4">
        <v>0</v>
      </c>
    </row>
    <row r="1695" spans="1:9" x14ac:dyDescent="0.2">
      <c r="A1695" s="1"/>
      <c r="C1695" s="4"/>
      <c r="D1695" s="8"/>
      <c r="E1695" s="4"/>
      <c r="F1695" s="8"/>
      <c r="G1695" s="4"/>
      <c r="H1695" s="8"/>
      <c r="I1695" s="4"/>
    </row>
    <row r="1696" spans="1:9" x14ac:dyDescent="0.2">
      <c r="A1696" s="1" t="s">
        <v>70</v>
      </c>
      <c r="C1696" s="4"/>
      <c r="D1696" s="8"/>
      <c r="E1696" s="4"/>
      <c r="F1696" s="8"/>
      <c r="G1696" s="4"/>
      <c r="H1696" s="8"/>
      <c r="I1696" s="4"/>
    </row>
    <row r="1697" spans="1:9" x14ac:dyDescent="0.2">
      <c r="A1697" s="2">
        <v>1</v>
      </c>
      <c r="B1697" s="1" t="s">
        <v>170</v>
      </c>
      <c r="C1697" s="4">
        <v>45</v>
      </c>
      <c r="D1697" s="8">
        <v>5.8</v>
      </c>
      <c r="E1697" s="4">
        <v>45</v>
      </c>
      <c r="F1697" s="8">
        <v>12.47</v>
      </c>
      <c r="G1697" s="4">
        <v>0</v>
      </c>
      <c r="H1697" s="8">
        <v>0</v>
      </c>
      <c r="I1697" s="4">
        <v>0</v>
      </c>
    </row>
    <row r="1698" spans="1:9" x14ac:dyDescent="0.2">
      <c r="A1698" s="2">
        <v>2</v>
      </c>
      <c r="B1698" s="1" t="s">
        <v>154</v>
      </c>
      <c r="C1698" s="4">
        <v>33</v>
      </c>
      <c r="D1698" s="8">
        <v>4.25</v>
      </c>
      <c r="E1698" s="4">
        <v>3</v>
      </c>
      <c r="F1698" s="8">
        <v>0.83</v>
      </c>
      <c r="G1698" s="4">
        <v>30</v>
      </c>
      <c r="H1698" s="8">
        <v>7.43</v>
      </c>
      <c r="I1698" s="4">
        <v>0</v>
      </c>
    </row>
    <row r="1699" spans="1:9" x14ac:dyDescent="0.2">
      <c r="A1699" s="2">
        <v>3</v>
      </c>
      <c r="B1699" s="1" t="s">
        <v>159</v>
      </c>
      <c r="C1699" s="4">
        <v>28</v>
      </c>
      <c r="D1699" s="8">
        <v>3.61</v>
      </c>
      <c r="E1699" s="4">
        <v>14</v>
      </c>
      <c r="F1699" s="8">
        <v>3.88</v>
      </c>
      <c r="G1699" s="4">
        <v>14</v>
      </c>
      <c r="H1699" s="8">
        <v>3.47</v>
      </c>
      <c r="I1699" s="4">
        <v>0</v>
      </c>
    </row>
    <row r="1700" spans="1:9" x14ac:dyDescent="0.2">
      <c r="A1700" s="2">
        <v>3</v>
      </c>
      <c r="B1700" s="1" t="s">
        <v>164</v>
      </c>
      <c r="C1700" s="4">
        <v>28</v>
      </c>
      <c r="D1700" s="8">
        <v>3.61</v>
      </c>
      <c r="E1700" s="4">
        <v>11</v>
      </c>
      <c r="F1700" s="8">
        <v>3.05</v>
      </c>
      <c r="G1700" s="4">
        <v>17</v>
      </c>
      <c r="H1700" s="8">
        <v>4.21</v>
      </c>
      <c r="I1700" s="4">
        <v>0</v>
      </c>
    </row>
    <row r="1701" spans="1:9" x14ac:dyDescent="0.2">
      <c r="A1701" s="2">
        <v>5</v>
      </c>
      <c r="B1701" s="1" t="s">
        <v>169</v>
      </c>
      <c r="C1701" s="4">
        <v>24</v>
      </c>
      <c r="D1701" s="8">
        <v>3.09</v>
      </c>
      <c r="E1701" s="4">
        <v>24</v>
      </c>
      <c r="F1701" s="8">
        <v>6.65</v>
      </c>
      <c r="G1701" s="4">
        <v>0</v>
      </c>
      <c r="H1701" s="8">
        <v>0</v>
      </c>
      <c r="I1701" s="4">
        <v>0</v>
      </c>
    </row>
    <row r="1702" spans="1:9" x14ac:dyDescent="0.2">
      <c r="A1702" s="2">
        <v>6</v>
      </c>
      <c r="B1702" s="1" t="s">
        <v>172</v>
      </c>
      <c r="C1702" s="4">
        <v>21</v>
      </c>
      <c r="D1702" s="8">
        <v>2.71</v>
      </c>
      <c r="E1702" s="4">
        <v>19</v>
      </c>
      <c r="F1702" s="8">
        <v>5.26</v>
      </c>
      <c r="G1702" s="4">
        <v>2</v>
      </c>
      <c r="H1702" s="8">
        <v>0.5</v>
      </c>
      <c r="I1702" s="4">
        <v>0</v>
      </c>
    </row>
    <row r="1703" spans="1:9" x14ac:dyDescent="0.2">
      <c r="A1703" s="2">
        <v>7</v>
      </c>
      <c r="B1703" s="1" t="s">
        <v>158</v>
      </c>
      <c r="C1703" s="4">
        <v>20</v>
      </c>
      <c r="D1703" s="8">
        <v>2.58</v>
      </c>
      <c r="E1703" s="4">
        <v>12</v>
      </c>
      <c r="F1703" s="8">
        <v>3.32</v>
      </c>
      <c r="G1703" s="4">
        <v>8</v>
      </c>
      <c r="H1703" s="8">
        <v>1.98</v>
      </c>
      <c r="I1703" s="4">
        <v>0</v>
      </c>
    </row>
    <row r="1704" spans="1:9" x14ac:dyDescent="0.2">
      <c r="A1704" s="2">
        <v>7</v>
      </c>
      <c r="B1704" s="1" t="s">
        <v>171</v>
      </c>
      <c r="C1704" s="4">
        <v>20</v>
      </c>
      <c r="D1704" s="8">
        <v>2.58</v>
      </c>
      <c r="E1704" s="4">
        <v>19</v>
      </c>
      <c r="F1704" s="8">
        <v>5.26</v>
      </c>
      <c r="G1704" s="4">
        <v>0</v>
      </c>
      <c r="H1704" s="8">
        <v>0</v>
      </c>
      <c r="I1704" s="4">
        <v>1</v>
      </c>
    </row>
    <row r="1705" spans="1:9" x14ac:dyDescent="0.2">
      <c r="A1705" s="2">
        <v>9</v>
      </c>
      <c r="B1705" s="1" t="s">
        <v>156</v>
      </c>
      <c r="C1705" s="4">
        <v>19</v>
      </c>
      <c r="D1705" s="8">
        <v>2.4500000000000002</v>
      </c>
      <c r="E1705" s="4">
        <v>5</v>
      </c>
      <c r="F1705" s="8">
        <v>1.39</v>
      </c>
      <c r="G1705" s="4">
        <v>14</v>
      </c>
      <c r="H1705" s="8">
        <v>3.47</v>
      </c>
      <c r="I1705" s="4">
        <v>0</v>
      </c>
    </row>
    <row r="1706" spans="1:9" x14ac:dyDescent="0.2">
      <c r="A1706" s="2">
        <v>9</v>
      </c>
      <c r="B1706" s="1" t="s">
        <v>168</v>
      </c>
      <c r="C1706" s="4">
        <v>19</v>
      </c>
      <c r="D1706" s="8">
        <v>2.4500000000000002</v>
      </c>
      <c r="E1706" s="4">
        <v>19</v>
      </c>
      <c r="F1706" s="8">
        <v>5.26</v>
      </c>
      <c r="G1706" s="4">
        <v>0</v>
      </c>
      <c r="H1706" s="8">
        <v>0</v>
      </c>
      <c r="I1706" s="4">
        <v>0</v>
      </c>
    </row>
    <row r="1707" spans="1:9" x14ac:dyDescent="0.2">
      <c r="A1707" s="2">
        <v>11</v>
      </c>
      <c r="B1707" s="1" t="s">
        <v>173</v>
      </c>
      <c r="C1707" s="4">
        <v>16</v>
      </c>
      <c r="D1707" s="8">
        <v>2.06</v>
      </c>
      <c r="E1707" s="4">
        <v>14</v>
      </c>
      <c r="F1707" s="8">
        <v>3.88</v>
      </c>
      <c r="G1707" s="4">
        <v>2</v>
      </c>
      <c r="H1707" s="8">
        <v>0.5</v>
      </c>
      <c r="I1707" s="4">
        <v>0</v>
      </c>
    </row>
    <row r="1708" spans="1:9" x14ac:dyDescent="0.2">
      <c r="A1708" s="2">
        <v>12</v>
      </c>
      <c r="B1708" s="1" t="s">
        <v>220</v>
      </c>
      <c r="C1708" s="4">
        <v>15</v>
      </c>
      <c r="D1708" s="8">
        <v>1.93</v>
      </c>
      <c r="E1708" s="4">
        <v>11</v>
      </c>
      <c r="F1708" s="8">
        <v>3.05</v>
      </c>
      <c r="G1708" s="4">
        <v>4</v>
      </c>
      <c r="H1708" s="8">
        <v>0.99</v>
      </c>
      <c r="I1708" s="4">
        <v>0</v>
      </c>
    </row>
    <row r="1709" spans="1:9" x14ac:dyDescent="0.2">
      <c r="A1709" s="2">
        <v>13</v>
      </c>
      <c r="B1709" s="1" t="s">
        <v>160</v>
      </c>
      <c r="C1709" s="4">
        <v>14</v>
      </c>
      <c r="D1709" s="8">
        <v>1.8</v>
      </c>
      <c r="E1709" s="4">
        <v>2</v>
      </c>
      <c r="F1709" s="8">
        <v>0.55000000000000004</v>
      </c>
      <c r="G1709" s="4">
        <v>12</v>
      </c>
      <c r="H1709" s="8">
        <v>2.97</v>
      </c>
      <c r="I1709" s="4">
        <v>0</v>
      </c>
    </row>
    <row r="1710" spans="1:9" x14ac:dyDescent="0.2">
      <c r="A1710" s="2">
        <v>13</v>
      </c>
      <c r="B1710" s="1" t="s">
        <v>166</v>
      </c>
      <c r="C1710" s="4">
        <v>14</v>
      </c>
      <c r="D1710" s="8">
        <v>1.8</v>
      </c>
      <c r="E1710" s="4">
        <v>13</v>
      </c>
      <c r="F1710" s="8">
        <v>3.6</v>
      </c>
      <c r="G1710" s="4">
        <v>1</v>
      </c>
      <c r="H1710" s="8">
        <v>0.25</v>
      </c>
      <c r="I1710" s="4">
        <v>0</v>
      </c>
    </row>
    <row r="1711" spans="1:9" x14ac:dyDescent="0.2">
      <c r="A1711" s="2">
        <v>15</v>
      </c>
      <c r="B1711" s="1" t="s">
        <v>161</v>
      </c>
      <c r="C1711" s="4">
        <v>13</v>
      </c>
      <c r="D1711" s="8">
        <v>1.68</v>
      </c>
      <c r="E1711" s="4">
        <v>11</v>
      </c>
      <c r="F1711" s="8">
        <v>3.05</v>
      </c>
      <c r="G1711" s="4">
        <v>2</v>
      </c>
      <c r="H1711" s="8">
        <v>0.5</v>
      </c>
      <c r="I1711" s="4">
        <v>0</v>
      </c>
    </row>
    <row r="1712" spans="1:9" x14ac:dyDescent="0.2">
      <c r="A1712" s="2">
        <v>16</v>
      </c>
      <c r="B1712" s="1" t="s">
        <v>155</v>
      </c>
      <c r="C1712" s="4">
        <v>12</v>
      </c>
      <c r="D1712" s="8">
        <v>1.55</v>
      </c>
      <c r="E1712" s="4">
        <v>5</v>
      </c>
      <c r="F1712" s="8">
        <v>1.39</v>
      </c>
      <c r="G1712" s="4">
        <v>7</v>
      </c>
      <c r="H1712" s="8">
        <v>1.73</v>
      </c>
      <c r="I1712" s="4">
        <v>0</v>
      </c>
    </row>
    <row r="1713" spans="1:9" x14ac:dyDescent="0.2">
      <c r="A1713" s="2">
        <v>16</v>
      </c>
      <c r="B1713" s="1" t="s">
        <v>167</v>
      </c>
      <c r="C1713" s="4">
        <v>12</v>
      </c>
      <c r="D1713" s="8">
        <v>1.55</v>
      </c>
      <c r="E1713" s="4">
        <v>12</v>
      </c>
      <c r="F1713" s="8">
        <v>3.32</v>
      </c>
      <c r="G1713" s="4">
        <v>0</v>
      </c>
      <c r="H1713" s="8">
        <v>0</v>
      </c>
      <c r="I1713" s="4">
        <v>0</v>
      </c>
    </row>
    <row r="1714" spans="1:9" x14ac:dyDescent="0.2">
      <c r="A1714" s="2">
        <v>16</v>
      </c>
      <c r="B1714" s="1" t="s">
        <v>179</v>
      </c>
      <c r="C1714" s="4">
        <v>12</v>
      </c>
      <c r="D1714" s="8">
        <v>1.55</v>
      </c>
      <c r="E1714" s="4">
        <v>10</v>
      </c>
      <c r="F1714" s="8">
        <v>2.77</v>
      </c>
      <c r="G1714" s="4">
        <v>2</v>
      </c>
      <c r="H1714" s="8">
        <v>0.5</v>
      </c>
      <c r="I1714" s="4">
        <v>0</v>
      </c>
    </row>
    <row r="1715" spans="1:9" x14ac:dyDescent="0.2">
      <c r="A1715" s="2">
        <v>19</v>
      </c>
      <c r="B1715" s="1" t="s">
        <v>224</v>
      </c>
      <c r="C1715" s="4">
        <v>11</v>
      </c>
      <c r="D1715" s="8">
        <v>1.42</v>
      </c>
      <c r="E1715" s="4">
        <v>0</v>
      </c>
      <c r="F1715" s="8">
        <v>0</v>
      </c>
      <c r="G1715" s="4">
        <v>11</v>
      </c>
      <c r="H1715" s="8">
        <v>2.72</v>
      </c>
      <c r="I1715" s="4">
        <v>0</v>
      </c>
    </row>
    <row r="1716" spans="1:9" x14ac:dyDescent="0.2">
      <c r="A1716" s="2">
        <v>20</v>
      </c>
      <c r="B1716" s="1" t="s">
        <v>182</v>
      </c>
      <c r="C1716" s="4">
        <v>10</v>
      </c>
      <c r="D1716" s="8">
        <v>1.29</v>
      </c>
      <c r="E1716" s="4">
        <v>4</v>
      </c>
      <c r="F1716" s="8">
        <v>1.1100000000000001</v>
      </c>
      <c r="G1716" s="4">
        <v>6</v>
      </c>
      <c r="H1716" s="8">
        <v>1.49</v>
      </c>
      <c r="I1716" s="4">
        <v>0</v>
      </c>
    </row>
    <row r="1717" spans="1:9" x14ac:dyDescent="0.2">
      <c r="A1717" s="1"/>
      <c r="C1717" s="4"/>
      <c r="D1717" s="8"/>
      <c r="E1717" s="4"/>
      <c r="F1717" s="8"/>
      <c r="G1717" s="4"/>
      <c r="H1717" s="8"/>
      <c r="I1717" s="4"/>
    </row>
    <row r="1718" spans="1:9" x14ac:dyDescent="0.2">
      <c r="A1718" s="1" t="s">
        <v>71</v>
      </c>
      <c r="C1718" s="4"/>
      <c r="D1718" s="8"/>
      <c r="E1718" s="4"/>
      <c r="F1718" s="8"/>
      <c r="G1718" s="4"/>
      <c r="H1718" s="8"/>
      <c r="I1718" s="4"/>
    </row>
    <row r="1719" spans="1:9" x14ac:dyDescent="0.2">
      <c r="A1719" s="2">
        <v>1</v>
      </c>
      <c r="B1719" s="1" t="s">
        <v>154</v>
      </c>
      <c r="C1719" s="4">
        <v>36</v>
      </c>
      <c r="D1719" s="8">
        <v>9.5</v>
      </c>
      <c r="E1719" s="4">
        <v>13</v>
      </c>
      <c r="F1719" s="8">
        <v>5.73</v>
      </c>
      <c r="G1719" s="4">
        <v>23</v>
      </c>
      <c r="H1719" s="8">
        <v>16.670000000000002</v>
      </c>
      <c r="I1719" s="4">
        <v>0</v>
      </c>
    </row>
    <row r="1720" spans="1:9" x14ac:dyDescent="0.2">
      <c r="A1720" s="2">
        <v>2</v>
      </c>
      <c r="B1720" s="1" t="s">
        <v>170</v>
      </c>
      <c r="C1720" s="4">
        <v>21</v>
      </c>
      <c r="D1720" s="8">
        <v>5.54</v>
      </c>
      <c r="E1720" s="4">
        <v>21</v>
      </c>
      <c r="F1720" s="8">
        <v>9.25</v>
      </c>
      <c r="G1720" s="4">
        <v>0</v>
      </c>
      <c r="H1720" s="8">
        <v>0</v>
      </c>
      <c r="I1720" s="4">
        <v>0</v>
      </c>
    </row>
    <row r="1721" spans="1:9" x14ac:dyDescent="0.2">
      <c r="A1721" s="2">
        <v>3</v>
      </c>
      <c r="B1721" s="1" t="s">
        <v>169</v>
      </c>
      <c r="C1721" s="4">
        <v>16</v>
      </c>
      <c r="D1721" s="8">
        <v>4.22</v>
      </c>
      <c r="E1721" s="4">
        <v>16</v>
      </c>
      <c r="F1721" s="8">
        <v>7.05</v>
      </c>
      <c r="G1721" s="4">
        <v>0</v>
      </c>
      <c r="H1721" s="8">
        <v>0</v>
      </c>
      <c r="I1721" s="4">
        <v>0</v>
      </c>
    </row>
    <row r="1722" spans="1:9" x14ac:dyDescent="0.2">
      <c r="A1722" s="2">
        <v>4</v>
      </c>
      <c r="B1722" s="1" t="s">
        <v>155</v>
      </c>
      <c r="C1722" s="4">
        <v>13</v>
      </c>
      <c r="D1722" s="8">
        <v>3.43</v>
      </c>
      <c r="E1722" s="4">
        <v>8</v>
      </c>
      <c r="F1722" s="8">
        <v>3.52</v>
      </c>
      <c r="G1722" s="4">
        <v>5</v>
      </c>
      <c r="H1722" s="8">
        <v>3.62</v>
      </c>
      <c r="I1722" s="4">
        <v>0</v>
      </c>
    </row>
    <row r="1723" spans="1:9" x14ac:dyDescent="0.2">
      <c r="A1723" s="2">
        <v>4</v>
      </c>
      <c r="B1723" s="1" t="s">
        <v>165</v>
      </c>
      <c r="C1723" s="4">
        <v>13</v>
      </c>
      <c r="D1723" s="8">
        <v>3.43</v>
      </c>
      <c r="E1723" s="4">
        <v>3</v>
      </c>
      <c r="F1723" s="8">
        <v>1.32</v>
      </c>
      <c r="G1723" s="4">
        <v>10</v>
      </c>
      <c r="H1723" s="8">
        <v>7.25</v>
      </c>
      <c r="I1723" s="4">
        <v>0</v>
      </c>
    </row>
    <row r="1724" spans="1:9" x14ac:dyDescent="0.2">
      <c r="A1724" s="2">
        <v>6</v>
      </c>
      <c r="B1724" s="1" t="s">
        <v>158</v>
      </c>
      <c r="C1724" s="4">
        <v>11</v>
      </c>
      <c r="D1724" s="8">
        <v>2.9</v>
      </c>
      <c r="E1724" s="4">
        <v>8</v>
      </c>
      <c r="F1724" s="8">
        <v>3.52</v>
      </c>
      <c r="G1724" s="4">
        <v>3</v>
      </c>
      <c r="H1724" s="8">
        <v>2.17</v>
      </c>
      <c r="I1724" s="4">
        <v>0</v>
      </c>
    </row>
    <row r="1725" spans="1:9" x14ac:dyDescent="0.2">
      <c r="A1725" s="2">
        <v>7</v>
      </c>
      <c r="B1725" s="1" t="s">
        <v>186</v>
      </c>
      <c r="C1725" s="4">
        <v>9</v>
      </c>
      <c r="D1725" s="8">
        <v>2.37</v>
      </c>
      <c r="E1725" s="4">
        <v>3</v>
      </c>
      <c r="F1725" s="8">
        <v>1.32</v>
      </c>
      <c r="G1725" s="4">
        <v>6</v>
      </c>
      <c r="H1725" s="8">
        <v>4.3499999999999996</v>
      </c>
      <c r="I1725" s="4">
        <v>0</v>
      </c>
    </row>
    <row r="1726" spans="1:9" x14ac:dyDescent="0.2">
      <c r="A1726" s="2">
        <v>7</v>
      </c>
      <c r="B1726" s="1" t="s">
        <v>156</v>
      </c>
      <c r="C1726" s="4">
        <v>9</v>
      </c>
      <c r="D1726" s="8">
        <v>2.37</v>
      </c>
      <c r="E1726" s="4">
        <v>5</v>
      </c>
      <c r="F1726" s="8">
        <v>2.2000000000000002</v>
      </c>
      <c r="G1726" s="4">
        <v>4</v>
      </c>
      <c r="H1726" s="8">
        <v>2.9</v>
      </c>
      <c r="I1726" s="4">
        <v>0</v>
      </c>
    </row>
    <row r="1727" spans="1:9" x14ac:dyDescent="0.2">
      <c r="A1727" s="2">
        <v>7</v>
      </c>
      <c r="B1727" s="1" t="s">
        <v>172</v>
      </c>
      <c r="C1727" s="4">
        <v>9</v>
      </c>
      <c r="D1727" s="8">
        <v>2.37</v>
      </c>
      <c r="E1727" s="4">
        <v>9</v>
      </c>
      <c r="F1727" s="8">
        <v>3.96</v>
      </c>
      <c r="G1727" s="4">
        <v>0</v>
      </c>
      <c r="H1727" s="8">
        <v>0</v>
      </c>
      <c r="I1727" s="4">
        <v>0</v>
      </c>
    </row>
    <row r="1728" spans="1:9" x14ac:dyDescent="0.2">
      <c r="A1728" s="2">
        <v>10</v>
      </c>
      <c r="B1728" s="1" t="s">
        <v>177</v>
      </c>
      <c r="C1728" s="4">
        <v>8</v>
      </c>
      <c r="D1728" s="8">
        <v>2.11</v>
      </c>
      <c r="E1728" s="4">
        <v>7</v>
      </c>
      <c r="F1728" s="8">
        <v>3.08</v>
      </c>
      <c r="G1728" s="4">
        <v>1</v>
      </c>
      <c r="H1728" s="8">
        <v>0.72</v>
      </c>
      <c r="I1728" s="4">
        <v>0</v>
      </c>
    </row>
    <row r="1729" spans="1:9" x14ac:dyDescent="0.2">
      <c r="A1729" s="2">
        <v>10</v>
      </c>
      <c r="B1729" s="1" t="s">
        <v>159</v>
      </c>
      <c r="C1729" s="4">
        <v>8</v>
      </c>
      <c r="D1729" s="8">
        <v>2.11</v>
      </c>
      <c r="E1729" s="4">
        <v>6</v>
      </c>
      <c r="F1729" s="8">
        <v>2.64</v>
      </c>
      <c r="G1729" s="4">
        <v>2</v>
      </c>
      <c r="H1729" s="8">
        <v>1.45</v>
      </c>
      <c r="I1729" s="4">
        <v>0</v>
      </c>
    </row>
    <row r="1730" spans="1:9" x14ac:dyDescent="0.2">
      <c r="A1730" s="2">
        <v>10</v>
      </c>
      <c r="B1730" s="1" t="s">
        <v>171</v>
      </c>
      <c r="C1730" s="4">
        <v>8</v>
      </c>
      <c r="D1730" s="8">
        <v>2.11</v>
      </c>
      <c r="E1730" s="4">
        <v>8</v>
      </c>
      <c r="F1730" s="8">
        <v>3.52</v>
      </c>
      <c r="G1730" s="4">
        <v>0</v>
      </c>
      <c r="H1730" s="8">
        <v>0</v>
      </c>
      <c r="I1730" s="4">
        <v>0</v>
      </c>
    </row>
    <row r="1731" spans="1:9" x14ac:dyDescent="0.2">
      <c r="A1731" s="2">
        <v>13</v>
      </c>
      <c r="B1731" s="1" t="s">
        <v>203</v>
      </c>
      <c r="C1731" s="4">
        <v>7</v>
      </c>
      <c r="D1731" s="8">
        <v>1.85</v>
      </c>
      <c r="E1731" s="4">
        <v>3</v>
      </c>
      <c r="F1731" s="8">
        <v>1.32</v>
      </c>
      <c r="G1731" s="4">
        <v>4</v>
      </c>
      <c r="H1731" s="8">
        <v>2.9</v>
      </c>
      <c r="I1731" s="4">
        <v>0</v>
      </c>
    </row>
    <row r="1732" spans="1:9" x14ac:dyDescent="0.2">
      <c r="A1732" s="2">
        <v>13</v>
      </c>
      <c r="B1732" s="1" t="s">
        <v>161</v>
      </c>
      <c r="C1732" s="4">
        <v>7</v>
      </c>
      <c r="D1732" s="8">
        <v>1.85</v>
      </c>
      <c r="E1732" s="4">
        <v>6</v>
      </c>
      <c r="F1732" s="8">
        <v>2.64</v>
      </c>
      <c r="G1732" s="4">
        <v>1</v>
      </c>
      <c r="H1732" s="8">
        <v>0.72</v>
      </c>
      <c r="I1732" s="4">
        <v>0</v>
      </c>
    </row>
    <row r="1733" spans="1:9" x14ac:dyDescent="0.2">
      <c r="A1733" s="2">
        <v>13</v>
      </c>
      <c r="B1733" s="1" t="s">
        <v>179</v>
      </c>
      <c r="C1733" s="4">
        <v>7</v>
      </c>
      <c r="D1733" s="8">
        <v>1.85</v>
      </c>
      <c r="E1733" s="4">
        <v>6</v>
      </c>
      <c r="F1733" s="8">
        <v>2.64</v>
      </c>
      <c r="G1733" s="4">
        <v>1</v>
      </c>
      <c r="H1733" s="8">
        <v>0.72</v>
      </c>
      <c r="I1733" s="4">
        <v>0</v>
      </c>
    </row>
    <row r="1734" spans="1:9" x14ac:dyDescent="0.2">
      <c r="A1734" s="2">
        <v>13</v>
      </c>
      <c r="B1734" s="1" t="s">
        <v>182</v>
      </c>
      <c r="C1734" s="4">
        <v>7</v>
      </c>
      <c r="D1734" s="8">
        <v>1.85</v>
      </c>
      <c r="E1734" s="4">
        <v>6</v>
      </c>
      <c r="F1734" s="8">
        <v>2.64</v>
      </c>
      <c r="G1734" s="4">
        <v>1</v>
      </c>
      <c r="H1734" s="8">
        <v>0.72</v>
      </c>
      <c r="I1734" s="4">
        <v>0</v>
      </c>
    </row>
    <row r="1735" spans="1:9" x14ac:dyDescent="0.2">
      <c r="A1735" s="2">
        <v>13</v>
      </c>
      <c r="B1735" s="1" t="s">
        <v>173</v>
      </c>
      <c r="C1735" s="4">
        <v>7</v>
      </c>
      <c r="D1735" s="8">
        <v>1.85</v>
      </c>
      <c r="E1735" s="4">
        <v>7</v>
      </c>
      <c r="F1735" s="8">
        <v>3.08</v>
      </c>
      <c r="G1735" s="4">
        <v>0</v>
      </c>
      <c r="H1735" s="8">
        <v>0</v>
      </c>
      <c r="I1735" s="4">
        <v>0</v>
      </c>
    </row>
    <row r="1736" spans="1:9" x14ac:dyDescent="0.2">
      <c r="A1736" s="2">
        <v>18</v>
      </c>
      <c r="B1736" s="1" t="s">
        <v>246</v>
      </c>
      <c r="C1736" s="4">
        <v>6</v>
      </c>
      <c r="D1736" s="8">
        <v>1.58</v>
      </c>
      <c r="E1736" s="4">
        <v>0</v>
      </c>
      <c r="F1736" s="8">
        <v>0</v>
      </c>
      <c r="G1736" s="4">
        <v>0</v>
      </c>
      <c r="H1736" s="8">
        <v>0</v>
      </c>
      <c r="I1736" s="4">
        <v>0</v>
      </c>
    </row>
    <row r="1737" spans="1:9" x14ac:dyDescent="0.2">
      <c r="A1737" s="2">
        <v>18</v>
      </c>
      <c r="B1737" s="1" t="s">
        <v>219</v>
      </c>
      <c r="C1737" s="4">
        <v>6</v>
      </c>
      <c r="D1737" s="8">
        <v>1.58</v>
      </c>
      <c r="E1737" s="4">
        <v>0</v>
      </c>
      <c r="F1737" s="8">
        <v>0</v>
      </c>
      <c r="G1737" s="4">
        <v>0</v>
      </c>
      <c r="H1737" s="8">
        <v>0</v>
      </c>
      <c r="I1737" s="4">
        <v>0</v>
      </c>
    </row>
    <row r="1738" spans="1:9" x14ac:dyDescent="0.2">
      <c r="A1738" s="2">
        <v>18</v>
      </c>
      <c r="B1738" s="1" t="s">
        <v>254</v>
      </c>
      <c r="C1738" s="4">
        <v>6</v>
      </c>
      <c r="D1738" s="8">
        <v>1.58</v>
      </c>
      <c r="E1738" s="4">
        <v>0</v>
      </c>
      <c r="F1738" s="8">
        <v>0</v>
      </c>
      <c r="G1738" s="4">
        <v>6</v>
      </c>
      <c r="H1738" s="8">
        <v>4.3499999999999996</v>
      </c>
      <c r="I1738" s="4">
        <v>0</v>
      </c>
    </row>
    <row r="1739" spans="1:9" x14ac:dyDescent="0.2">
      <c r="A1739" s="1"/>
      <c r="C1739" s="4"/>
      <c r="D1739" s="8"/>
      <c r="E1739" s="4"/>
      <c r="F1739" s="8"/>
      <c r="G1739" s="4"/>
      <c r="H1739" s="8"/>
      <c r="I1739" s="4"/>
    </row>
    <row r="1740" spans="1:9" x14ac:dyDescent="0.2">
      <c r="A1740" s="1" t="s">
        <v>72</v>
      </c>
      <c r="C1740" s="4"/>
      <c r="D1740" s="8"/>
      <c r="E1740" s="4"/>
      <c r="F1740" s="8"/>
      <c r="G1740" s="4"/>
      <c r="H1740" s="8"/>
      <c r="I1740" s="4"/>
    </row>
    <row r="1741" spans="1:9" x14ac:dyDescent="0.2">
      <c r="A1741" s="2">
        <v>1</v>
      </c>
      <c r="B1741" s="1" t="s">
        <v>170</v>
      </c>
      <c r="C1741" s="4">
        <v>12</v>
      </c>
      <c r="D1741" s="8">
        <v>10.71</v>
      </c>
      <c r="E1741" s="4">
        <v>12</v>
      </c>
      <c r="F1741" s="8">
        <v>16</v>
      </c>
      <c r="G1741" s="4">
        <v>0</v>
      </c>
      <c r="H1741" s="8">
        <v>0</v>
      </c>
      <c r="I1741" s="4">
        <v>0</v>
      </c>
    </row>
    <row r="1742" spans="1:9" x14ac:dyDescent="0.2">
      <c r="A1742" s="2">
        <v>2</v>
      </c>
      <c r="B1742" s="1" t="s">
        <v>164</v>
      </c>
      <c r="C1742" s="4">
        <v>10</v>
      </c>
      <c r="D1742" s="8">
        <v>8.93</v>
      </c>
      <c r="E1742" s="4">
        <v>8</v>
      </c>
      <c r="F1742" s="8">
        <v>10.67</v>
      </c>
      <c r="G1742" s="4">
        <v>2</v>
      </c>
      <c r="H1742" s="8">
        <v>5.41</v>
      </c>
      <c r="I1742" s="4">
        <v>0</v>
      </c>
    </row>
    <row r="1743" spans="1:9" x14ac:dyDescent="0.2">
      <c r="A1743" s="2">
        <v>3</v>
      </c>
      <c r="B1743" s="1" t="s">
        <v>169</v>
      </c>
      <c r="C1743" s="4">
        <v>6</v>
      </c>
      <c r="D1743" s="8">
        <v>5.36</v>
      </c>
      <c r="E1743" s="4">
        <v>6</v>
      </c>
      <c r="F1743" s="8">
        <v>8</v>
      </c>
      <c r="G1743" s="4">
        <v>0</v>
      </c>
      <c r="H1743" s="8">
        <v>0</v>
      </c>
      <c r="I1743" s="4">
        <v>0</v>
      </c>
    </row>
    <row r="1744" spans="1:9" x14ac:dyDescent="0.2">
      <c r="A1744" s="2">
        <v>4</v>
      </c>
      <c r="B1744" s="1" t="s">
        <v>174</v>
      </c>
      <c r="C1744" s="4">
        <v>5</v>
      </c>
      <c r="D1744" s="8">
        <v>4.46</v>
      </c>
      <c r="E1744" s="4">
        <v>2</v>
      </c>
      <c r="F1744" s="8">
        <v>2.67</v>
      </c>
      <c r="G1744" s="4">
        <v>3</v>
      </c>
      <c r="H1744" s="8">
        <v>8.11</v>
      </c>
      <c r="I1744" s="4">
        <v>0</v>
      </c>
    </row>
    <row r="1745" spans="1:9" x14ac:dyDescent="0.2">
      <c r="A1745" s="2">
        <v>5</v>
      </c>
      <c r="B1745" s="1" t="s">
        <v>186</v>
      </c>
      <c r="C1745" s="4">
        <v>4</v>
      </c>
      <c r="D1745" s="8">
        <v>3.57</v>
      </c>
      <c r="E1745" s="4">
        <v>2</v>
      </c>
      <c r="F1745" s="8">
        <v>2.67</v>
      </c>
      <c r="G1745" s="4">
        <v>2</v>
      </c>
      <c r="H1745" s="8">
        <v>5.41</v>
      </c>
      <c r="I1745" s="4">
        <v>0</v>
      </c>
    </row>
    <row r="1746" spans="1:9" x14ac:dyDescent="0.2">
      <c r="A1746" s="2">
        <v>5</v>
      </c>
      <c r="B1746" s="1" t="s">
        <v>175</v>
      </c>
      <c r="C1746" s="4">
        <v>4</v>
      </c>
      <c r="D1746" s="8">
        <v>3.57</v>
      </c>
      <c r="E1746" s="4">
        <v>4</v>
      </c>
      <c r="F1746" s="8">
        <v>5.33</v>
      </c>
      <c r="G1746" s="4">
        <v>0</v>
      </c>
      <c r="H1746" s="8">
        <v>0</v>
      </c>
      <c r="I1746" s="4">
        <v>0</v>
      </c>
    </row>
    <row r="1747" spans="1:9" x14ac:dyDescent="0.2">
      <c r="A1747" s="2">
        <v>7</v>
      </c>
      <c r="B1747" s="1" t="s">
        <v>156</v>
      </c>
      <c r="C1747" s="4">
        <v>3</v>
      </c>
      <c r="D1747" s="8">
        <v>2.68</v>
      </c>
      <c r="E1747" s="4">
        <v>1</v>
      </c>
      <c r="F1747" s="8">
        <v>1.33</v>
      </c>
      <c r="G1747" s="4">
        <v>2</v>
      </c>
      <c r="H1747" s="8">
        <v>5.41</v>
      </c>
      <c r="I1747" s="4">
        <v>0</v>
      </c>
    </row>
    <row r="1748" spans="1:9" x14ac:dyDescent="0.2">
      <c r="A1748" s="2">
        <v>7</v>
      </c>
      <c r="B1748" s="1" t="s">
        <v>279</v>
      </c>
      <c r="C1748" s="4">
        <v>3</v>
      </c>
      <c r="D1748" s="8">
        <v>2.68</v>
      </c>
      <c r="E1748" s="4">
        <v>1</v>
      </c>
      <c r="F1748" s="8">
        <v>1.33</v>
      </c>
      <c r="G1748" s="4">
        <v>2</v>
      </c>
      <c r="H1748" s="8">
        <v>5.41</v>
      </c>
      <c r="I1748" s="4">
        <v>0</v>
      </c>
    </row>
    <row r="1749" spans="1:9" x14ac:dyDescent="0.2">
      <c r="A1749" s="2">
        <v>7</v>
      </c>
      <c r="B1749" s="1" t="s">
        <v>267</v>
      </c>
      <c r="C1749" s="4">
        <v>3</v>
      </c>
      <c r="D1749" s="8">
        <v>2.68</v>
      </c>
      <c r="E1749" s="4">
        <v>2</v>
      </c>
      <c r="F1749" s="8">
        <v>2.67</v>
      </c>
      <c r="G1749" s="4">
        <v>1</v>
      </c>
      <c r="H1749" s="8">
        <v>2.7</v>
      </c>
      <c r="I1749" s="4">
        <v>0</v>
      </c>
    </row>
    <row r="1750" spans="1:9" x14ac:dyDescent="0.2">
      <c r="A1750" s="2">
        <v>7</v>
      </c>
      <c r="B1750" s="1" t="s">
        <v>160</v>
      </c>
      <c r="C1750" s="4">
        <v>3</v>
      </c>
      <c r="D1750" s="8">
        <v>2.68</v>
      </c>
      <c r="E1750" s="4">
        <v>1</v>
      </c>
      <c r="F1750" s="8">
        <v>1.33</v>
      </c>
      <c r="G1750" s="4">
        <v>2</v>
      </c>
      <c r="H1750" s="8">
        <v>5.41</v>
      </c>
      <c r="I1750" s="4">
        <v>0</v>
      </c>
    </row>
    <row r="1751" spans="1:9" x14ac:dyDescent="0.2">
      <c r="A1751" s="2">
        <v>7</v>
      </c>
      <c r="B1751" s="1" t="s">
        <v>161</v>
      </c>
      <c r="C1751" s="4">
        <v>3</v>
      </c>
      <c r="D1751" s="8">
        <v>2.68</v>
      </c>
      <c r="E1751" s="4">
        <v>3</v>
      </c>
      <c r="F1751" s="8">
        <v>4</v>
      </c>
      <c r="G1751" s="4">
        <v>0</v>
      </c>
      <c r="H1751" s="8">
        <v>0</v>
      </c>
      <c r="I1751" s="4">
        <v>0</v>
      </c>
    </row>
    <row r="1752" spans="1:9" x14ac:dyDescent="0.2">
      <c r="A1752" s="2">
        <v>12</v>
      </c>
      <c r="B1752" s="1" t="s">
        <v>232</v>
      </c>
      <c r="C1752" s="4">
        <v>2</v>
      </c>
      <c r="D1752" s="8">
        <v>1.79</v>
      </c>
      <c r="E1752" s="4">
        <v>0</v>
      </c>
      <c r="F1752" s="8">
        <v>0</v>
      </c>
      <c r="G1752" s="4">
        <v>2</v>
      </c>
      <c r="H1752" s="8">
        <v>5.41</v>
      </c>
      <c r="I1752" s="4">
        <v>0</v>
      </c>
    </row>
    <row r="1753" spans="1:9" x14ac:dyDescent="0.2">
      <c r="A1753" s="2">
        <v>12</v>
      </c>
      <c r="B1753" s="1" t="s">
        <v>154</v>
      </c>
      <c r="C1753" s="4">
        <v>2</v>
      </c>
      <c r="D1753" s="8">
        <v>1.79</v>
      </c>
      <c r="E1753" s="4">
        <v>0</v>
      </c>
      <c r="F1753" s="8">
        <v>0</v>
      </c>
      <c r="G1753" s="4">
        <v>2</v>
      </c>
      <c r="H1753" s="8">
        <v>5.41</v>
      </c>
      <c r="I1753" s="4">
        <v>0</v>
      </c>
    </row>
    <row r="1754" spans="1:9" x14ac:dyDescent="0.2">
      <c r="A1754" s="2">
        <v>12</v>
      </c>
      <c r="B1754" s="1" t="s">
        <v>155</v>
      </c>
      <c r="C1754" s="4">
        <v>2</v>
      </c>
      <c r="D1754" s="8">
        <v>1.79</v>
      </c>
      <c r="E1754" s="4">
        <v>0</v>
      </c>
      <c r="F1754" s="8">
        <v>0</v>
      </c>
      <c r="G1754" s="4">
        <v>2</v>
      </c>
      <c r="H1754" s="8">
        <v>5.41</v>
      </c>
      <c r="I1754" s="4">
        <v>0</v>
      </c>
    </row>
    <row r="1755" spans="1:9" x14ac:dyDescent="0.2">
      <c r="A1755" s="2">
        <v>12</v>
      </c>
      <c r="B1755" s="1" t="s">
        <v>176</v>
      </c>
      <c r="C1755" s="4">
        <v>2</v>
      </c>
      <c r="D1755" s="8">
        <v>1.79</v>
      </c>
      <c r="E1755" s="4">
        <v>2</v>
      </c>
      <c r="F1755" s="8">
        <v>2.67</v>
      </c>
      <c r="G1755" s="4">
        <v>0</v>
      </c>
      <c r="H1755" s="8">
        <v>0</v>
      </c>
      <c r="I1755" s="4">
        <v>0</v>
      </c>
    </row>
    <row r="1756" spans="1:9" x14ac:dyDescent="0.2">
      <c r="A1756" s="2">
        <v>12</v>
      </c>
      <c r="B1756" s="1" t="s">
        <v>159</v>
      </c>
      <c r="C1756" s="4">
        <v>2</v>
      </c>
      <c r="D1756" s="8">
        <v>1.79</v>
      </c>
      <c r="E1756" s="4">
        <v>2</v>
      </c>
      <c r="F1756" s="8">
        <v>2.67</v>
      </c>
      <c r="G1756" s="4">
        <v>0</v>
      </c>
      <c r="H1756" s="8">
        <v>0</v>
      </c>
      <c r="I1756" s="4">
        <v>0</v>
      </c>
    </row>
    <row r="1757" spans="1:9" x14ac:dyDescent="0.2">
      <c r="A1757" s="2">
        <v>12</v>
      </c>
      <c r="B1757" s="1" t="s">
        <v>205</v>
      </c>
      <c r="C1757" s="4">
        <v>2</v>
      </c>
      <c r="D1757" s="8">
        <v>1.79</v>
      </c>
      <c r="E1757" s="4">
        <v>1</v>
      </c>
      <c r="F1757" s="8">
        <v>1.33</v>
      </c>
      <c r="G1757" s="4">
        <v>1</v>
      </c>
      <c r="H1757" s="8">
        <v>2.7</v>
      </c>
      <c r="I1757" s="4">
        <v>0</v>
      </c>
    </row>
    <row r="1758" spans="1:9" x14ac:dyDescent="0.2">
      <c r="A1758" s="2">
        <v>12</v>
      </c>
      <c r="B1758" s="1" t="s">
        <v>280</v>
      </c>
      <c r="C1758" s="4">
        <v>2</v>
      </c>
      <c r="D1758" s="8">
        <v>1.79</v>
      </c>
      <c r="E1758" s="4">
        <v>1</v>
      </c>
      <c r="F1758" s="8">
        <v>1.33</v>
      </c>
      <c r="G1758" s="4">
        <v>1</v>
      </c>
      <c r="H1758" s="8">
        <v>2.7</v>
      </c>
      <c r="I1758" s="4">
        <v>0</v>
      </c>
    </row>
    <row r="1759" spans="1:9" x14ac:dyDescent="0.2">
      <c r="A1759" s="2">
        <v>12</v>
      </c>
      <c r="B1759" s="1" t="s">
        <v>178</v>
      </c>
      <c r="C1759" s="4">
        <v>2</v>
      </c>
      <c r="D1759" s="8">
        <v>1.79</v>
      </c>
      <c r="E1759" s="4">
        <v>2</v>
      </c>
      <c r="F1759" s="8">
        <v>2.67</v>
      </c>
      <c r="G1759" s="4">
        <v>0</v>
      </c>
      <c r="H1759" s="8">
        <v>0</v>
      </c>
      <c r="I1759" s="4">
        <v>0</v>
      </c>
    </row>
    <row r="1760" spans="1:9" x14ac:dyDescent="0.2">
      <c r="A1760" s="2">
        <v>12</v>
      </c>
      <c r="B1760" s="1" t="s">
        <v>183</v>
      </c>
      <c r="C1760" s="4">
        <v>2</v>
      </c>
      <c r="D1760" s="8">
        <v>1.79</v>
      </c>
      <c r="E1760" s="4">
        <v>2</v>
      </c>
      <c r="F1760" s="8">
        <v>2.67</v>
      </c>
      <c r="G1760" s="4">
        <v>0</v>
      </c>
      <c r="H1760" s="8">
        <v>0</v>
      </c>
      <c r="I1760" s="4">
        <v>0</v>
      </c>
    </row>
    <row r="1761" spans="1:9" x14ac:dyDescent="0.2">
      <c r="A1761" s="2">
        <v>12</v>
      </c>
      <c r="B1761" s="1" t="s">
        <v>172</v>
      </c>
      <c r="C1761" s="4">
        <v>2</v>
      </c>
      <c r="D1761" s="8">
        <v>1.79</v>
      </c>
      <c r="E1761" s="4">
        <v>2</v>
      </c>
      <c r="F1761" s="8">
        <v>2.67</v>
      </c>
      <c r="G1761" s="4">
        <v>0</v>
      </c>
      <c r="H1761" s="8">
        <v>0</v>
      </c>
      <c r="I1761" s="4">
        <v>0</v>
      </c>
    </row>
    <row r="1762" spans="1:9" x14ac:dyDescent="0.2">
      <c r="A1762" s="2">
        <v>12</v>
      </c>
      <c r="B1762" s="1" t="s">
        <v>173</v>
      </c>
      <c r="C1762" s="4">
        <v>2</v>
      </c>
      <c r="D1762" s="8">
        <v>1.79</v>
      </c>
      <c r="E1762" s="4">
        <v>2</v>
      </c>
      <c r="F1762" s="8">
        <v>2.67</v>
      </c>
      <c r="G1762" s="4">
        <v>0</v>
      </c>
      <c r="H1762" s="8">
        <v>0</v>
      </c>
      <c r="I1762" s="4">
        <v>0</v>
      </c>
    </row>
    <row r="1763" spans="1:9" x14ac:dyDescent="0.2">
      <c r="A1763" s="1"/>
      <c r="C1763" s="4"/>
      <c r="D1763" s="8"/>
      <c r="E1763" s="4"/>
      <c r="F1763" s="8"/>
      <c r="G1763" s="4"/>
      <c r="H1763" s="8"/>
      <c r="I1763" s="4"/>
    </row>
    <row r="1764" spans="1:9" x14ac:dyDescent="0.2">
      <c r="A1764" s="1" t="s">
        <v>73</v>
      </c>
      <c r="C1764" s="4"/>
      <c r="D1764" s="8"/>
      <c r="E1764" s="4"/>
      <c r="F1764" s="8"/>
      <c r="G1764" s="4"/>
      <c r="H1764" s="8"/>
      <c r="I1764" s="4"/>
    </row>
    <row r="1765" spans="1:9" x14ac:dyDescent="0.2">
      <c r="A1765" s="2">
        <v>1</v>
      </c>
      <c r="B1765" s="1" t="s">
        <v>154</v>
      </c>
      <c r="C1765" s="4">
        <v>10</v>
      </c>
      <c r="D1765" s="8">
        <v>9.01</v>
      </c>
      <c r="E1765" s="4">
        <v>3</v>
      </c>
      <c r="F1765" s="8">
        <v>4.55</v>
      </c>
      <c r="G1765" s="4">
        <v>7</v>
      </c>
      <c r="H1765" s="8">
        <v>16.28</v>
      </c>
      <c r="I1765" s="4">
        <v>0</v>
      </c>
    </row>
    <row r="1766" spans="1:9" x14ac:dyDescent="0.2">
      <c r="A1766" s="2">
        <v>2</v>
      </c>
      <c r="B1766" s="1" t="s">
        <v>158</v>
      </c>
      <c r="C1766" s="4">
        <v>6</v>
      </c>
      <c r="D1766" s="8">
        <v>5.41</v>
      </c>
      <c r="E1766" s="4">
        <v>6</v>
      </c>
      <c r="F1766" s="8">
        <v>9.09</v>
      </c>
      <c r="G1766" s="4">
        <v>0</v>
      </c>
      <c r="H1766" s="8">
        <v>0</v>
      </c>
      <c r="I1766" s="4">
        <v>0</v>
      </c>
    </row>
    <row r="1767" spans="1:9" x14ac:dyDescent="0.2">
      <c r="A1767" s="2">
        <v>2</v>
      </c>
      <c r="B1767" s="1" t="s">
        <v>170</v>
      </c>
      <c r="C1767" s="4">
        <v>6</v>
      </c>
      <c r="D1767" s="8">
        <v>5.41</v>
      </c>
      <c r="E1767" s="4">
        <v>6</v>
      </c>
      <c r="F1767" s="8">
        <v>9.09</v>
      </c>
      <c r="G1767" s="4">
        <v>0</v>
      </c>
      <c r="H1767" s="8">
        <v>0</v>
      </c>
      <c r="I1767" s="4">
        <v>0</v>
      </c>
    </row>
    <row r="1768" spans="1:9" x14ac:dyDescent="0.2">
      <c r="A1768" s="2">
        <v>4</v>
      </c>
      <c r="B1768" s="1" t="s">
        <v>169</v>
      </c>
      <c r="C1768" s="4">
        <v>5</v>
      </c>
      <c r="D1768" s="8">
        <v>4.5</v>
      </c>
      <c r="E1768" s="4">
        <v>5</v>
      </c>
      <c r="F1768" s="8">
        <v>7.58</v>
      </c>
      <c r="G1768" s="4">
        <v>0</v>
      </c>
      <c r="H1768" s="8">
        <v>0</v>
      </c>
      <c r="I1768" s="4">
        <v>0</v>
      </c>
    </row>
    <row r="1769" spans="1:9" x14ac:dyDescent="0.2">
      <c r="A1769" s="2">
        <v>4</v>
      </c>
      <c r="B1769" s="1" t="s">
        <v>173</v>
      </c>
      <c r="C1769" s="4">
        <v>5</v>
      </c>
      <c r="D1769" s="8">
        <v>4.5</v>
      </c>
      <c r="E1769" s="4">
        <v>5</v>
      </c>
      <c r="F1769" s="8">
        <v>7.58</v>
      </c>
      <c r="G1769" s="4">
        <v>0</v>
      </c>
      <c r="H1769" s="8">
        <v>0</v>
      </c>
      <c r="I1769" s="4">
        <v>0</v>
      </c>
    </row>
    <row r="1770" spans="1:9" x14ac:dyDescent="0.2">
      <c r="A1770" s="2">
        <v>6</v>
      </c>
      <c r="B1770" s="1" t="s">
        <v>186</v>
      </c>
      <c r="C1770" s="4">
        <v>4</v>
      </c>
      <c r="D1770" s="8">
        <v>3.6</v>
      </c>
      <c r="E1770" s="4">
        <v>3</v>
      </c>
      <c r="F1770" s="8">
        <v>4.55</v>
      </c>
      <c r="G1770" s="4">
        <v>1</v>
      </c>
      <c r="H1770" s="8">
        <v>2.33</v>
      </c>
      <c r="I1770" s="4">
        <v>0</v>
      </c>
    </row>
    <row r="1771" spans="1:9" x14ac:dyDescent="0.2">
      <c r="A1771" s="2">
        <v>6</v>
      </c>
      <c r="B1771" s="1" t="s">
        <v>159</v>
      </c>
      <c r="C1771" s="4">
        <v>4</v>
      </c>
      <c r="D1771" s="8">
        <v>3.6</v>
      </c>
      <c r="E1771" s="4">
        <v>4</v>
      </c>
      <c r="F1771" s="8">
        <v>6.06</v>
      </c>
      <c r="G1771" s="4">
        <v>0</v>
      </c>
      <c r="H1771" s="8">
        <v>0</v>
      </c>
      <c r="I1771" s="4">
        <v>0</v>
      </c>
    </row>
    <row r="1772" spans="1:9" x14ac:dyDescent="0.2">
      <c r="A1772" s="2">
        <v>6</v>
      </c>
      <c r="B1772" s="1" t="s">
        <v>204</v>
      </c>
      <c r="C1772" s="4">
        <v>4</v>
      </c>
      <c r="D1772" s="8">
        <v>3.6</v>
      </c>
      <c r="E1772" s="4">
        <v>0</v>
      </c>
      <c r="F1772" s="8">
        <v>0</v>
      </c>
      <c r="G1772" s="4">
        <v>4</v>
      </c>
      <c r="H1772" s="8">
        <v>9.3000000000000007</v>
      </c>
      <c r="I1772" s="4">
        <v>0</v>
      </c>
    </row>
    <row r="1773" spans="1:9" x14ac:dyDescent="0.2">
      <c r="A1773" s="2">
        <v>9</v>
      </c>
      <c r="B1773" s="1" t="s">
        <v>155</v>
      </c>
      <c r="C1773" s="4">
        <v>3</v>
      </c>
      <c r="D1773" s="8">
        <v>2.7</v>
      </c>
      <c r="E1773" s="4">
        <v>2</v>
      </c>
      <c r="F1773" s="8">
        <v>3.03</v>
      </c>
      <c r="G1773" s="4">
        <v>1</v>
      </c>
      <c r="H1773" s="8">
        <v>2.33</v>
      </c>
      <c r="I1773" s="4">
        <v>0</v>
      </c>
    </row>
    <row r="1774" spans="1:9" x14ac:dyDescent="0.2">
      <c r="A1774" s="2">
        <v>9</v>
      </c>
      <c r="B1774" s="1" t="s">
        <v>156</v>
      </c>
      <c r="C1774" s="4">
        <v>3</v>
      </c>
      <c r="D1774" s="8">
        <v>2.7</v>
      </c>
      <c r="E1774" s="4">
        <v>2</v>
      </c>
      <c r="F1774" s="8">
        <v>3.03</v>
      </c>
      <c r="G1774" s="4">
        <v>1</v>
      </c>
      <c r="H1774" s="8">
        <v>2.33</v>
      </c>
      <c r="I1774" s="4">
        <v>0</v>
      </c>
    </row>
    <row r="1775" spans="1:9" x14ac:dyDescent="0.2">
      <c r="A1775" s="2">
        <v>9</v>
      </c>
      <c r="B1775" s="1" t="s">
        <v>185</v>
      </c>
      <c r="C1775" s="4">
        <v>3</v>
      </c>
      <c r="D1775" s="8">
        <v>2.7</v>
      </c>
      <c r="E1775" s="4">
        <v>1</v>
      </c>
      <c r="F1775" s="8">
        <v>1.52</v>
      </c>
      <c r="G1775" s="4">
        <v>2</v>
      </c>
      <c r="H1775" s="8">
        <v>4.6500000000000004</v>
      </c>
      <c r="I1775" s="4">
        <v>0</v>
      </c>
    </row>
    <row r="1776" spans="1:9" x14ac:dyDescent="0.2">
      <c r="A1776" s="2">
        <v>9</v>
      </c>
      <c r="B1776" s="1" t="s">
        <v>181</v>
      </c>
      <c r="C1776" s="4">
        <v>3</v>
      </c>
      <c r="D1776" s="8">
        <v>2.7</v>
      </c>
      <c r="E1776" s="4">
        <v>3</v>
      </c>
      <c r="F1776" s="8">
        <v>4.55</v>
      </c>
      <c r="G1776" s="4">
        <v>0</v>
      </c>
      <c r="H1776" s="8">
        <v>0</v>
      </c>
      <c r="I1776" s="4">
        <v>0</v>
      </c>
    </row>
    <row r="1777" spans="1:9" x14ac:dyDescent="0.2">
      <c r="A1777" s="2">
        <v>9</v>
      </c>
      <c r="B1777" s="1" t="s">
        <v>205</v>
      </c>
      <c r="C1777" s="4">
        <v>3</v>
      </c>
      <c r="D1777" s="8">
        <v>2.7</v>
      </c>
      <c r="E1777" s="4">
        <v>0</v>
      </c>
      <c r="F1777" s="8">
        <v>0</v>
      </c>
      <c r="G1777" s="4">
        <v>3</v>
      </c>
      <c r="H1777" s="8">
        <v>6.98</v>
      </c>
      <c r="I1777" s="4">
        <v>0</v>
      </c>
    </row>
    <row r="1778" spans="1:9" x14ac:dyDescent="0.2">
      <c r="A1778" s="2">
        <v>9</v>
      </c>
      <c r="B1778" s="1" t="s">
        <v>281</v>
      </c>
      <c r="C1778" s="4">
        <v>3</v>
      </c>
      <c r="D1778" s="8">
        <v>2.7</v>
      </c>
      <c r="E1778" s="4">
        <v>3</v>
      </c>
      <c r="F1778" s="8">
        <v>4.55</v>
      </c>
      <c r="G1778" s="4">
        <v>0</v>
      </c>
      <c r="H1778" s="8">
        <v>0</v>
      </c>
      <c r="I1778" s="4">
        <v>0</v>
      </c>
    </row>
    <row r="1779" spans="1:9" x14ac:dyDescent="0.2">
      <c r="A1779" s="2">
        <v>15</v>
      </c>
      <c r="B1779" s="1" t="s">
        <v>202</v>
      </c>
      <c r="C1779" s="4">
        <v>2</v>
      </c>
      <c r="D1779" s="8">
        <v>1.8</v>
      </c>
      <c r="E1779" s="4">
        <v>2</v>
      </c>
      <c r="F1779" s="8">
        <v>3.03</v>
      </c>
      <c r="G1779" s="4">
        <v>0</v>
      </c>
      <c r="H1779" s="8">
        <v>0</v>
      </c>
      <c r="I1779" s="4">
        <v>0</v>
      </c>
    </row>
    <row r="1780" spans="1:9" x14ac:dyDescent="0.2">
      <c r="A1780" s="2">
        <v>15</v>
      </c>
      <c r="B1780" s="1" t="s">
        <v>203</v>
      </c>
      <c r="C1780" s="4">
        <v>2</v>
      </c>
      <c r="D1780" s="8">
        <v>1.8</v>
      </c>
      <c r="E1780" s="4">
        <v>1</v>
      </c>
      <c r="F1780" s="8">
        <v>1.52</v>
      </c>
      <c r="G1780" s="4">
        <v>1</v>
      </c>
      <c r="H1780" s="8">
        <v>2.33</v>
      </c>
      <c r="I1780" s="4">
        <v>0</v>
      </c>
    </row>
    <row r="1781" spans="1:9" x14ac:dyDescent="0.2">
      <c r="A1781" s="2">
        <v>15</v>
      </c>
      <c r="B1781" s="1" t="s">
        <v>157</v>
      </c>
      <c r="C1781" s="4">
        <v>2</v>
      </c>
      <c r="D1781" s="8">
        <v>1.8</v>
      </c>
      <c r="E1781" s="4">
        <v>2</v>
      </c>
      <c r="F1781" s="8">
        <v>3.03</v>
      </c>
      <c r="G1781" s="4">
        <v>0</v>
      </c>
      <c r="H1781" s="8">
        <v>0</v>
      </c>
      <c r="I1781" s="4">
        <v>0</v>
      </c>
    </row>
    <row r="1782" spans="1:9" x14ac:dyDescent="0.2">
      <c r="A1782" s="2">
        <v>15</v>
      </c>
      <c r="B1782" s="1" t="s">
        <v>267</v>
      </c>
      <c r="C1782" s="4">
        <v>2</v>
      </c>
      <c r="D1782" s="8">
        <v>1.8</v>
      </c>
      <c r="E1782" s="4">
        <v>2</v>
      </c>
      <c r="F1782" s="8">
        <v>3.03</v>
      </c>
      <c r="G1782" s="4">
        <v>0</v>
      </c>
      <c r="H1782" s="8">
        <v>0</v>
      </c>
      <c r="I1782" s="4">
        <v>0</v>
      </c>
    </row>
    <row r="1783" spans="1:9" x14ac:dyDescent="0.2">
      <c r="A1783" s="2">
        <v>15</v>
      </c>
      <c r="B1783" s="1" t="s">
        <v>160</v>
      </c>
      <c r="C1783" s="4">
        <v>2</v>
      </c>
      <c r="D1783" s="8">
        <v>1.8</v>
      </c>
      <c r="E1783" s="4">
        <v>0</v>
      </c>
      <c r="F1783" s="8">
        <v>0</v>
      </c>
      <c r="G1783" s="4">
        <v>2</v>
      </c>
      <c r="H1783" s="8">
        <v>4.6500000000000004</v>
      </c>
      <c r="I1783" s="4">
        <v>0</v>
      </c>
    </row>
    <row r="1784" spans="1:9" x14ac:dyDescent="0.2">
      <c r="A1784" s="2">
        <v>15</v>
      </c>
      <c r="B1784" s="1" t="s">
        <v>161</v>
      </c>
      <c r="C1784" s="4">
        <v>2</v>
      </c>
      <c r="D1784" s="8">
        <v>1.8</v>
      </c>
      <c r="E1784" s="4">
        <v>1</v>
      </c>
      <c r="F1784" s="8">
        <v>1.52</v>
      </c>
      <c r="G1784" s="4">
        <v>1</v>
      </c>
      <c r="H1784" s="8">
        <v>2.33</v>
      </c>
      <c r="I1784" s="4">
        <v>0</v>
      </c>
    </row>
    <row r="1785" spans="1:9" x14ac:dyDescent="0.2">
      <c r="A1785" s="2">
        <v>15</v>
      </c>
      <c r="B1785" s="1" t="s">
        <v>244</v>
      </c>
      <c r="C1785" s="4">
        <v>2</v>
      </c>
      <c r="D1785" s="8">
        <v>1.8</v>
      </c>
      <c r="E1785" s="4">
        <v>0</v>
      </c>
      <c r="F1785" s="8">
        <v>0</v>
      </c>
      <c r="G1785" s="4">
        <v>2</v>
      </c>
      <c r="H1785" s="8">
        <v>4.6500000000000004</v>
      </c>
      <c r="I1785" s="4">
        <v>0</v>
      </c>
    </row>
    <row r="1786" spans="1:9" x14ac:dyDescent="0.2">
      <c r="A1786" s="2">
        <v>15</v>
      </c>
      <c r="B1786" s="1" t="s">
        <v>231</v>
      </c>
      <c r="C1786" s="4">
        <v>2</v>
      </c>
      <c r="D1786" s="8">
        <v>1.8</v>
      </c>
      <c r="E1786" s="4">
        <v>1</v>
      </c>
      <c r="F1786" s="8">
        <v>1.52</v>
      </c>
      <c r="G1786" s="4">
        <v>1</v>
      </c>
      <c r="H1786" s="8">
        <v>2.33</v>
      </c>
      <c r="I1786" s="4">
        <v>0</v>
      </c>
    </row>
    <row r="1787" spans="1:9" x14ac:dyDescent="0.2">
      <c r="A1787" s="1"/>
      <c r="C1787" s="4"/>
      <c r="D1787" s="8"/>
      <c r="E1787" s="4"/>
      <c r="F1787" s="8"/>
      <c r="G1787" s="4"/>
      <c r="H1787" s="8"/>
      <c r="I1787" s="4"/>
    </row>
    <row r="1788" spans="1:9" x14ac:dyDescent="0.2">
      <c r="A1788" s="1" t="s">
        <v>74</v>
      </c>
      <c r="C1788" s="4"/>
      <c r="D1788" s="8"/>
      <c r="E1788" s="4"/>
      <c r="F1788" s="8"/>
      <c r="G1788" s="4"/>
      <c r="H1788" s="8"/>
      <c r="I1788" s="4"/>
    </row>
    <row r="1789" spans="1:9" x14ac:dyDescent="0.2">
      <c r="A1789" s="2">
        <v>1</v>
      </c>
      <c r="B1789" s="1" t="s">
        <v>154</v>
      </c>
      <c r="C1789" s="4">
        <v>43</v>
      </c>
      <c r="D1789" s="8">
        <v>11.5</v>
      </c>
      <c r="E1789" s="4">
        <v>14</v>
      </c>
      <c r="F1789" s="8">
        <v>6.09</v>
      </c>
      <c r="G1789" s="4">
        <v>29</v>
      </c>
      <c r="H1789" s="8">
        <v>21.8</v>
      </c>
      <c r="I1789" s="4">
        <v>0</v>
      </c>
    </row>
    <row r="1790" spans="1:9" x14ac:dyDescent="0.2">
      <c r="A1790" s="2">
        <v>2</v>
      </c>
      <c r="B1790" s="1" t="s">
        <v>170</v>
      </c>
      <c r="C1790" s="4">
        <v>19</v>
      </c>
      <c r="D1790" s="8">
        <v>5.08</v>
      </c>
      <c r="E1790" s="4">
        <v>17</v>
      </c>
      <c r="F1790" s="8">
        <v>7.39</v>
      </c>
      <c r="G1790" s="4">
        <v>2</v>
      </c>
      <c r="H1790" s="8">
        <v>1.5</v>
      </c>
      <c r="I1790" s="4">
        <v>0</v>
      </c>
    </row>
    <row r="1791" spans="1:9" x14ac:dyDescent="0.2">
      <c r="A1791" s="2">
        <v>3</v>
      </c>
      <c r="B1791" s="1" t="s">
        <v>158</v>
      </c>
      <c r="C1791" s="4">
        <v>16</v>
      </c>
      <c r="D1791" s="8">
        <v>4.28</v>
      </c>
      <c r="E1791" s="4">
        <v>14</v>
      </c>
      <c r="F1791" s="8">
        <v>6.09</v>
      </c>
      <c r="G1791" s="4">
        <v>1</v>
      </c>
      <c r="H1791" s="8">
        <v>0.75</v>
      </c>
      <c r="I1791" s="4">
        <v>1</v>
      </c>
    </row>
    <row r="1792" spans="1:9" x14ac:dyDescent="0.2">
      <c r="A1792" s="2">
        <v>4</v>
      </c>
      <c r="B1792" s="1" t="s">
        <v>169</v>
      </c>
      <c r="C1792" s="4">
        <v>15</v>
      </c>
      <c r="D1792" s="8">
        <v>4.01</v>
      </c>
      <c r="E1792" s="4">
        <v>15</v>
      </c>
      <c r="F1792" s="8">
        <v>6.52</v>
      </c>
      <c r="G1792" s="4">
        <v>0</v>
      </c>
      <c r="H1792" s="8">
        <v>0</v>
      </c>
      <c r="I1792" s="4">
        <v>0</v>
      </c>
    </row>
    <row r="1793" spans="1:9" x14ac:dyDescent="0.2">
      <c r="A1793" s="2">
        <v>5</v>
      </c>
      <c r="B1793" s="1" t="s">
        <v>172</v>
      </c>
      <c r="C1793" s="4">
        <v>11</v>
      </c>
      <c r="D1793" s="8">
        <v>2.94</v>
      </c>
      <c r="E1793" s="4">
        <v>11</v>
      </c>
      <c r="F1793" s="8">
        <v>4.78</v>
      </c>
      <c r="G1793" s="4">
        <v>0</v>
      </c>
      <c r="H1793" s="8">
        <v>0</v>
      </c>
      <c r="I1793" s="4">
        <v>0</v>
      </c>
    </row>
    <row r="1794" spans="1:9" x14ac:dyDescent="0.2">
      <c r="A1794" s="2">
        <v>6</v>
      </c>
      <c r="B1794" s="1" t="s">
        <v>161</v>
      </c>
      <c r="C1794" s="4">
        <v>9</v>
      </c>
      <c r="D1794" s="8">
        <v>2.41</v>
      </c>
      <c r="E1794" s="4">
        <v>7</v>
      </c>
      <c r="F1794" s="8">
        <v>3.04</v>
      </c>
      <c r="G1794" s="4">
        <v>2</v>
      </c>
      <c r="H1794" s="8">
        <v>1.5</v>
      </c>
      <c r="I1794" s="4">
        <v>0</v>
      </c>
    </row>
    <row r="1795" spans="1:9" x14ac:dyDescent="0.2">
      <c r="A1795" s="2">
        <v>6</v>
      </c>
      <c r="B1795" s="1" t="s">
        <v>164</v>
      </c>
      <c r="C1795" s="4">
        <v>9</v>
      </c>
      <c r="D1795" s="8">
        <v>2.41</v>
      </c>
      <c r="E1795" s="4">
        <v>4</v>
      </c>
      <c r="F1795" s="8">
        <v>1.74</v>
      </c>
      <c r="G1795" s="4">
        <v>4</v>
      </c>
      <c r="H1795" s="8">
        <v>3.01</v>
      </c>
      <c r="I1795" s="4">
        <v>0</v>
      </c>
    </row>
    <row r="1796" spans="1:9" x14ac:dyDescent="0.2">
      <c r="A1796" s="2">
        <v>6</v>
      </c>
      <c r="B1796" s="1" t="s">
        <v>168</v>
      </c>
      <c r="C1796" s="4">
        <v>9</v>
      </c>
      <c r="D1796" s="8">
        <v>2.41</v>
      </c>
      <c r="E1796" s="4">
        <v>9</v>
      </c>
      <c r="F1796" s="8">
        <v>3.91</v>
      </c>
      <c r="G1796" s="4">
        <v>0</v>
      </c>
      <c r="H1796" s="8">
        <v>0</v>
      </c>
      <c r="I1796" s="4">
        <v>0</v>
      </c>
    </row>
    <row r="1797" spans="1:9" x14ac:dyDescent="0.2">
      <c r="A1797" s="2">
        <v>9</v>
      </c>
      <c r="B1797" s="1" t="s">
        <v>155</v>
      </c>
      <c r="C1797" s="4">
        <v>8</v>
      </c>
      <c r="D1797" s="8">
        <v>2.14</v>
      </c>
      <c r="E1797" s="4">
        <v>2</v>
      </c>
      <c r="F1797" s="8">
        <v>0.87</v>
      </c>
      <c r="G1797" s="4">
        <v>6</v>
      </c>
      <c r="H1797" s="8">
        <v>4.51</v>
      </c>
      <c r="I1797" s="4">
        <v>0</v>
      </c>
    </row>
    <row r="1798" spans="1:9" x14ac:dyDescent="0.2">
      <c r="A1798" s="2">
        <v>9</v>
      </c>
      <c r="B1798" s="1" t="s">
        <v>159</v>
      </c>
      <c r="C1798" s="4">
        <v>8</v>
      </c>
      <c r="D1798" s="8">
        <v>2.14</v>
      </c>
      <c r="E1798" s="4">
        <v>5</v>
      </c>
      <c r="F1798" s="8">
        <v>2.17</v>
      </c>
      <c r="G1798" s="4">
        <v>3</v>
      </c>
      <c r="H1798" s="8">
        <v>2.2599999999999998</v>
      </c>
      <c r="I1798" s="4">
        <v>0</v>
      </c>
    </row>
    <row r="1799" spans="1:9" x14ac:dyDescent="0.2">
      <c r="A1799" s="2">
        <v>9</v>
      </c>
      <c r="B1799" s="1" t="s">
        <v>182</v>
      </c>
      <c r="C1799" s="4">
        <v>8</v>
      </c>
      <c r="D1799" s="8">
        <v>2.14</v>
      </c>
      <c r="E1799" s="4">
        <v>4</v>
      </c>
      <c r="F1799" s="8">
        <v>1.74</v>
      </c>
      <c r="G1799" s="4">
        <v>4</v>
      </c>
      <c r="H1799" s="8">
        <v>3.01</v>
      </c>
      <c r="I1799" s="4">
        <v>0</v>
      </c>
    </row>
    <row r="1800" spans="1:9" x14ac:dyDescent="0.2">
      <c r="A1800" s="2">
        <v>9</v>
      </c>
      <c r="B1800" s="1" t="s">
        <v>173</v>
      </c>
      <c r="C1800" s="4">
        <v>8</v>
      </c>
      <c r="D1800" s="8">
        <v>2.14</v>
      </c>
      <c r="E1800" s="4">
        <v>8</v>
      </c>
      <c r="F1800" s="8">
        <v>3.48</v>
      </c>
      <c r="G1800" s="4">
        <v>0</v>
      </c>
      <c r="H1800" s="8">
        <v>0</v>
      </c>
      <c r="I1800" s="4">
        <v>0</v>
      </c>
    </row>
    <row r="1801" spans="1:9" x14ac:dyDescent="0.2">
      <c r="A1801" s="2">
        <v>13</v>
      </c>
      <c r="B1801" s="1" t="s">
        <v>203</v>
      </c>
      <c r="C1801" s="4">
        <v>7</v>
      </c>
      <c r="D1801" s="8">
        <v>1.87</v>
      </c>
      <c r="E1801" s="4">
        <v>5</v>
      </c>
      <c r="F1801" s="8">
        <v>2.17</v>
      </c>
      <c r="G1801" s="4">
        <v>2</v>
      </c>
      <c r="H1801" s="8">
        <v>1.5</v>
      </c>
      <c r="I1801" s="4">
        <v>0</v>
      </c>
    </row>
    <row r="1802" spans="1:9" x14ac:dyDescent="0.2">
      <c r="A1802" s="2">
        <v>13</v>
      </c>
      <c r="B1802" s="1" t="s">
        <v>160</v>
      </c>
      <c r="C1802" s="4">
        <v>7</v>
      </c>
      <c r="D1802" s="8">
        <v>1.87</v>
      </c>
      <c r="E1802" s="4">
        <v>1</v>
      </c>
      <c r="F1802" s="8">
        <v>0.43</v>
      </c>
      <c r="G1802" s="4">
        <v>6</v>
      </c>
      <c r="H1802" s="8">
        <v>4.51</v>
      </c>
      <c r="I1802" s="4">
        <v>0</v>
      </c>
    </row>
    <row r="1803" spans="1:9" x14ac:dyDescent="0.2">
      <c r="A1803" s="2">
        <v>13</v>
      </c>
      <c r="B1803" s="1" t="s">
        <v>167</v>
      </c>
      <c r="C1803" s="4">
        <v>7</v>
      </c>
      <c r="D1803" s="8">
        <v>1.87</v>
      </c>
      <c r="E1803" s="4">
        <v>7</v>
      </c>
      <c r="F1803" s="8">
        <v>3.04</v>
      </c>
      <c r="G1803" s="4">
        <v>0</v>
      </c>
      <c r="H1803" s="8">
        <v>0</v>
      </c>
      <c r="I1803" s="4">
        <v>0</v>
      </c>
    </row>
    <row r="1804" spans="1:9" x14ac:dyDescent="0.2">
      <c r="A1804" s="2">
        <v>13</v>
      </c>
      <c r="B1804" s="1" t="s">
        <v>171</v>
      </c>
      <c r="C1804" s="4">
        <v>7</v>
      </c>
      <c r="D1804" s="8">
        <v>1.87</v>
      </c>
      <c r="E1804" s="4">
        <v>5</v>
      </c>
      <c r="F1804" s="8">
        <v>2.17</v>
      </c>
      <c r="G1804" s="4">
        <v>1</v>
      </c>
      <c r="H1804" s="8">
        <v>0.75</v>
      </c>
      <c r="I1804" s="4">
        <v>1</v>
      </c>
    </row>
    <row r="1805" spans="1:9" x14ac:dyDescent="0.2">
      <c r="A1805" s="2">
        <v>17</v>
      </c>
      <c r="B1805" s="1" t="s">
        <v>166</v>
      </c>
      <c r="C1805" s="4">
        <v>6</v>
      </c>
      <c r="D1805" s="8">
        <v>1.6</v>
      </c>
      <c r="E1805" s="4">
        <v>6</v>
      </c>
      <c r="F1805" s="8">
        <v>2.61</v>
      </c>
      <c r="G1805" s="4">
        <v>0</v>
      </c>
      <c r="H1805" s="8">
        <v>0</v>
      </c>
      <c r="I1805" s="4">
        <v>0</v>
      </c>
    </row>
    <row r="1806" spans="1:9" x14ac:dyDescent="0.2">
      <c r="A1806" s="2">
        <v>17</v>
      </c>
      <c r="B1806" s="1" t="s">
        <v>179</v>
      </c>
      <c r="C1806" s="4">
        <v>6</v>
      </c>
      <c r="D1806" s="8">
        <v>1.6</v>
      </c>
      <c r="E1806" s="4">
        <v>6</v>
      </c>
      <c r="F1806" s="8">
        <v>2.61</v>
      </c>
      <c r="G1806" s="4">
        <v>0</v>
      </c>
      <c r="H1806" s="8">
        <v>0</v>
      </c>
      <c r="I1806" s="4">
        <v>0</v>
      </c>
    </row>
    <row r="1807" spans="1:9" x14ac:dyDescent="0.2">
      <c r="A1807" s="2">
        <v>19</v>
      </c>
      <c r="B1807" s="1" t="s">
        <v>232</v>
      </c>
      <c r="C1807" s="4">
        <v>5</v>
      </c>
      <c r="D1807" s="8">
        <v>1.34</v>
      </c>
      <c r="E1807" s="4">
        <v>1</v>
      </c>
      <c r="F1807" s="8">
        <v>0.43</v>
      </c>
      <c r="G1807" s="4">
        <v>4</v>
      </c>
      <c r="H1807" s="8">
        <v>3.01</v>
      </c>
      <c r="I1807" s="4">
        <v>0</v>
      </c>
    </row>
    <row r="1808" spans="1:9" x14ac:dyDescent="0.2">
      <c r="A1808" s="2">
        <v>19</v>
      </c>
      <c r="B1808" s="1" t="s">
        <v>186</v>
      </c>
      <c r="C1808" s="4">
        <v>5</v>
      </c>
      <c r="D1808" s="8">
        <v>1.34</v>
      </c>
      <c r="E1808" s="4">
        <v>3</v>
      </c>
      <c r="F1808" s="8">
        <v>1.3</v>
      </c>
      <c r="G1808" s="4">
        <v>2</v>
      </c>
      <c r="H1808" s="8">
        <v>1.5</v>
      </c>
      <c r="I1808" s="4">
        <v>0</v>
      </c>
    </row>
    <row r="1809" spans="1:9" x14ac:dyDescent="0.2">
      <c r="A1809" s="2">
        <v>19</v>
      </c>
      <c r="B1809" s="1" t="s">
        <v>187</v>
      </c>
      <c r="C1809" s="4">
        <v>5</v>
      </c>
      <c r="D1809" s="8">
        <v>1.34</v>
      </c>
      <c r="E1809" s="4">
        <v>2</v>
      </c>
      <c r="F1809" s="8">
        <v>0.87</v>
      </c>
      <c r="G1809" s="4">
        <v>3</v>
      </c>
      <c r="H1809" s="8">
        <v>2.2599999999999998</v>
      </c>
      <c r="I1809" s="4">
        <v>0</v>
      </c>
    </row>
    <row r="1810" spans="1:9" x14ac:dyDescent="0.2">
      <c r="A1810" s="2">
        <v>19</v>
      </c>
      <c r="B1810" s="1" t="s">
        <v>156</v>
      </c>
      <c r="C1810" s="4">
        <v>5</v>
      </c>
      <c r="D1810" s="8">
        <v>1.34</v>
      </c>
      <c r="E1810" s="4">
        <v>1</v>
      </c>
      <c r="F1810" s="8">
        <v>0.43</v>
      </c>
      <c r="G1810" s="4">
        <v>4</v>
      </c>
      <c r="H1810" s="8">
        <v>3.01</v>
      </c>
      <c r="I1810" s="4">
        <v>0</v>
      </c>
    </row>
    <row r="1811" spans="1:9" x14ac:dyDescent="0.2">
      <c r="A1811" s="2">
        <v>19</v>
      </c>
      <c r="B1811" s="1" t="s">
        <v>212</v>
      </c>
      <c r="C1811" s="4">
        <v>5</v>
      </c>
      <c r="D1811" s="8">
        <v>1.34</v>
      </c>
      <c r="E1811" s="4">
        <v>5</v>
      </c>
      <c r="F1811" s="8">
        <v>2.17</v>
      </c>
      <c r="G1811" s="4">
        <v>0</v>
      </c>
      <c r="H1811" s="8">
        <v>0</v>
      </c>
      <c r="I1811" s="4">
        <v>0</v>
      </c>
    </row>
    <row r="1812" spans="1:9" x14ac:dyDescent="0.2">
      <c r="A1812" s="2">
        <v>19</v>
      </c>
      <c r="B1812" s="1" t="s">
        <v>165</v>
      </c>
      <c r="C1812" s="4">
        <v>5</v>
      </c>
      <c r="D1812" s="8">
        <v>1.34</v>
      </c>
      <c r="E1812" s="4">
        <v>1</v>
      </c>
      <c r="F1812" s="8">
        <v>0.43</v>
      </c>
      <c r="G1812" s="4">
        <v>4</v>
      </c>
      <c r="H1812" s="8">
        <v>3.01</v>
      </c>
      <c r="I1812" s="4">
        <v>0</v>
      </c>
    </row>
    <row r="1813" spans="1:9" x14ac:dyDescent="0.2">
      <c r="A1813" s="2">
        <v>19</v>
      </c>
      <c r="B1813" s="1" t="s">
        <v>220</v>
      </c>
      <c r="C1813" s="4">
        <v>5</v>
      </c>
      <c r="D1813" s="8">
        <v>1.34</v>
      </c>
      <c r="E1813" s="4">
        <v>5</v>
      </c>
      <c r="F1813" s="8">
        <v>2.17</v>
      </c>
      <c r="G1813" s="4">
        <v>0</v>
      </c>
      <c r="H1813" s="8">
        <v>0</v>
      </c>
      <c r="I1813" s="4">
        <v>0</v>
      </c>
    </row>
    <row r="1814" spans="1:9" x14ac:dyDescent="0.2">
      <c r="A1814" s="1"/>
      <c r="C1814" s="4"/>
      <c r="D1814" s="8"/>
      <c r="E1814" s="4"/>
      <c r="F1814" s="8"/>
      <c r="G1814" s="4"/>
      <c r="H1814" s="8"/>
      <c r="I1814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FE0F8-3B3F-446A-AAA9-ECC9301BC109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323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169</v>
      </c>
      <c r="D6" s="8">
        <v>15.68</v>
      </c>
      <c r="E6" s="12">
        <v>55</v>
      </c>
      <c r="F6" s="8">
        <v>10.17</v>
      </c>
      <c r="G6" s="12">
        <v>114</v>
      </c>
      <c r="H6" s="8">
        <v>21.43</v>
      </c>
      <c r="I6" s="12">
        <v>0</v>
      </c>
    </row>
    <row r="7" spans="2:9" ht="15" customHeight="1" x14ac:dyDescent="0.2">
      <c r="B7" t="s">
        <v>77</v>
      </c>
      <c r="C7" s="12">
        <v>69</v>
      </c>
      <c r="D7" s="8">
        <v>6.4</v>
      </c>
      <c r="E7" s="12">
        <v>16</v>
      </c>
      <c r="F7" s="8">
        <v>2.96</v>
      </c>
      <c r="G7" s="12">
        <v>53</v>
      </c>
      <c r="H7" s="8">
        <v>9.9600000000000009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0.09</v>
      </c>
      <c r="E8" s="12">
        <v>0</v>
      </c>
      <c r="F8" s="8">
        <v>0</v>
      </c>
      <c r="G8" s="12">
        <v>1</v>
      </c>
      <c r="H8" s="8">
        <v>0.19</v>
      </c>
      <c r="I8" s="12">
        <v>0</v>
      </c>
    </row>
    <row r="9" spans="2:9" ht="15" customHeight="1" x14ac:dyDescent="0.2">
      <c r="B9" t="s">
        <v>79</v>
      </c>
      <c r="C9" s="12">
        <v>12</v>
      </c>
      <c r="D9" s="8">
        <v>1.1100000000000001</v>
      </c>
      <c r="E9" s="12">
        <v>0</v>
      </c>
      <c r="F9" s="8">
        <v>0</v>
      </c>
      <c r="G9" s="12">
        <v>12</v>
      </c>
      <c r="H9" s="8">
        <v>2.2599999999999998</v>
      </c>
      <c r="I9" s="12">
        <v>0</v>
      </c>
    </row>
    <row r="10" spans="2:9" ht="15" customHeight="1" x14ac:dyDescent="0.2">
      <c r="B10" t="s">
        <v>80</v>
      </c>
      <c r="C10" s="12">
        <v>20</v>
      </c>
      <c r="D10" s="8">
        <v>1.86</v>
      </c>
      <c r="E10" s="12">
        <v>5</v>
      </c>
      <c r="F10" s="8">
        <v>0.92</v>
      </c>
      <c r="G10" s="12">
        <v>15</v>
      </c>
      <c r="H10" s="8">
        <v>2.82</v>
      </c>
      <c r="I10" s="12">
        <v>0</v>
      </c>
    </row>
    <row r="11" spans="2:9" ht="15" customHeight="1" x14ac:dyDescent="0.2">
      <c r="B11" t="s">
        <v>81</v>
      </c>
      <c r="C11" s="12">
        <v>259</v>
      </c>
      <c r="D11" s="8">
        <v>24.03</v>
      </c>
      <c r="E11" s="12">
        <v>110</v>
      </c>
      <c r="F11" s="8">
        <v>20.329999999999998</v>
      </c>
      <c r="G11" s="12">
        <v>149</v>
      </c>
      <c r="H11" s="8">
        <v>28.01</v>
      </c>
      <c r="I11" s="12">
        <v>0</v>
      </c>
    </row>
    <row r="12" spans="2:9" ht="15" customHeight="1" x14ac:dyDescent="0.2">
      <c r="B12" t="s">
        <v>82</v>
      </c>
      <c r="C12" s="12">
        <v>7</v>
      </c>
      <c r="D12" s="8">
        <v>0.65</v>
      </c>
      <c r="E12" s="12">
        <v>3</v>
      </c>
      <c r="F12" s="8">
        <v>0.55000000000000004</v>
      </c>
      <c r="G12" s="12">
        <v>4</v>
      </c>
      <c r="H12" s="8">
        <v>0.75</v>
      </c>
      <c r="I12" s="12">
        <v>0</v>
      </c>
    </row>
    <row r="13" spans="2:9" ht="15" customHeight="1" x14ac:dyDescent="0.2">
      <c r="B13" t="s">
        <v>83</v>
      </c>
      <c r="C13" s="12">
        <v>80</v>
      </c>
      <c r="D13" s="8">
        <v>7.42</v>
      </c>
      <c r="E13" s="12">
        <v>43</v>
      </c>
      <c r="F13" s="8">
        <v>7.95</v>
      </c>
      <c r="G13" s="12">
        <v>37</v>
      </c>
      <c r="H13" s="8">
        <v>6.95</v>
      </c>
      <c r="I13" s="12">
        <v>0</v>
      </c>
    </row>
    <row r="14" spans="2:9" ht="15" customHeight="1" x14ac:dyDescent="0.2">
      <c r="B14" t="s">
        <v>84</v>
      </c>
      <c r="C14" s="12">
        <v>54</v>
      </c>
      <c r="D14" s="8">
        <v>5.01</v>
      </c>
      <c r="E14" s="12">
        <v>23</v>
      </c>
      <c r="F14" s="8">
        <v>4.25</v>
      </c>
      <c r="G14" s="12">
        <v>31</v>
      </c>
      <c r="H14" s="8">
        <v>5.83</v>
      </c>
      <c r="I14" s="12">
        <v>0</v>
      </c>
    </row>
    <row r="15" spans="2:9" ht="15" customHeight="1" x14ac:dyDescent="0.2">
      <c r="B15" t="s">
        <v>85</v>
      </c>
      <c r="C15" s="12">
        <v>130</v>
      </c>
      <c r="D15" s="8">
        <v>12.06</v>
      </c>
      <c r="E15" s="12">
        <v>92</v>
      </c>
      <c r="F15" s="8">
        <v>17.010000000000002</v>
      </c>
      <c r="G15" s="12">
        <v>37</v>
      </c>
      <c r="H15" s="8">
        <v>6.95</v>
      </c>
      <c r="I15" s="12">
        <v>0</v>
      </c>
    </row>
    <row r="16" spans="2:9" ht="15" customHeight="1" x14ac:dyDescent="0.2">
      <c r="B16" t="s">
        <v>86</v>
      </c>
      <c r="C16" s="12">
        <v>128</v>
      </c>
      <c r="D16" s="8">
        <v>11.87</v>
      </c>
      <c r="E16" s="12">
        <v>104</v>
      </c>
      <c r="F16" s="8">
        <v>19.22</v>
      </c>
      <c r="G16" s="12">
        <v>23</v>
      </c>
      <c r="H16" s="8">
        <v>4.32</v>
      </c>
      <c r="I16" s="12">
        <v>0</v>
      </c>
    </row>
    <row r="17" spans="2:9" ht="15" customHeight="1" x14ac:dyDescent="0.2">
      <c r="B17" t="s">
        <v>87</v>
      </c>
      <c r="C17" s="12">
        <v>41</v>
      </c>
      <c r="D17" s="8">
        <v>3.8</v>
      </c>
      <c r="E17" s="12">
        <v>30</v>
      </c>
      <c r="F17" s="8">
        <v>5.55</v>
      </c>
      <c r="G17" s="12">
        <v>9</v>
      </c>
      <c r="H17" s="8">
        <v>1.69</v>
      </c>
      <c r="I17" s="12">
        <v>0</v>
      </c>
    </row>
    <row r="18" spans="2:9" ht="15" customHeight="1" x14ac:dyDescent="0.2">
      <c r="B18" t="s">
        <v>88</v>
      </c>
      <c r="C18" s="12">
        <v>55</v>
      </c>
      <c r="D18" s="8">
        <v>5.0999999999999996</v>
      </c>
      <c r="E18" s="12">
        <v>40</v>
      </c>
      <c r="F18" s="8">
        <v>7.39</v>
      </c>
      <c r="G18" s="12">
        <v>14</v>
      </c>
      <c r="H18" s="8">
        <v>2.63</v>
      </c>
      <c r="I18" s="12">
        <v>0</v>
      </c>
    </row>
    <row r="19" spans="2:9" ht="15" customHeight="1" x14ac:dyDescent="0.2">
      <c r="B19" t="s">
        <v>89</v>
      </c>
      <c r="C19" s="12">
        <v>53</v>
      </c>
      <c r="D19" s="8">
        <v>4.92</v>
      </c>
      <c r="E19" s="12">
        <v>20</v>
      </c>
      <c r="F19" s="8">
        <v>3.7</v>
      </c>
      <c r="G19" s="12">
        <v>33</v>
      </c>
      <c r="H19" s="8">
        <v>6.2</v>
      </c>
      <c r="I19" s="12">
        <v>0</v>
      </c>
    </row>
    <row r="20" spans="2:9" ht="15" customHeight="1" x14ac:dyDescent="0.2">
      <c r="B20" s="9" t="s">
        <v>285</v>
      </c>
      <c r="C20" s="12">
        <f>SUM(LTBL_40223[総数／事業所数])</f>
        <v>1078</v>
      </c>
      <c r="E20" s="12">
        <f>SUBTOTAL(109,LTBL_40223[個人／事業所数])</f>
        <v>541</v>
      </c>
      <c r="G20" s="12">
        <f>SUBTOTAL(109,LTBL_40223[法人／事業所数])</f>
        <v>532</v>
      </c>
      <c r="I20" s="12">
        <f>SUBTOTAL(109,LTBL_40223[法人以外の団体／事業所数])</f>
        <v>0</v>
      </c>
    </row>
    <row r="21" spans="2:9" ht="15" customHeight="1" x14ac:dyDescent="0.2">
      <c r="E21" s="11">
        <f>LTBL_40223[[#Totals],[個人／事業所数]]/LTBL_40223[[#Totals],[総数／事業所数]]</f>
        <v>0.50185528756957332</v>
      </c>
      <c r="G21" s="11">
        <f>LTBL_40223[[#Totals],[法人／事業所数]]/LTBL_40223[[#Totals],[総数／事業所数]]</f>
        <v>0.4935064935064935</v>
      </c>
      <c r="I21" s="11">
        <f>LTBL_40223[[#Totals],[法人以外の団体／事業所数]]/LTBL_40223[[#Totals],[総数／事業所数]]</f>
        <v>0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101</v>
      </c>
      <c r="D24" s="8">
        <v>9.3699999999999992</v>
      </c>
      <c r="E24" s="12">
        <v>89</v>
      </c>
      <c r="F24" s="8">
        <v>16.45</v>
      </c>
      <c r="G24" s="12">
        <v>12</v>
      </c>
      <c r="H24" s="8">
        <v>2.2599999999999998</v>
      </c>
      <c r="I24" s="12">
        <v>0</v>
      </c>
    </row>
    <row r="25" spans="2:9" ht="15" customHeight="1" x14ac:dyDescent="0.2">
      <c r="B25" t="s">
        <v>112</v>
      </c>
      <c r="C25" s="12">
        <v>100</v>
      </c>
      <c r="D25" s="8">
        <v>9.2799999999999994</v>
      </c>
      <c r="E25" s="12">
        <v>88</v>
      </c>
      <c r="F25" s="8">
        <v>16.27</v>
      </c>
      <c r="G25" s="12">
        <v>12</v>
      </c>
      <c r="H25" s="8">
        <v>2.2599999999999998</v>
      </c>
      <c r="I25" s="12">
        <v>0</v>
      </c>
    </row>
    <row r="26" spans="2:9" ht="15" customHeight="1" x14ac:dyDescent="0.2">
      <c r="B26" t="s">
        <v>98</v>
      </c>
      <c r="C26" s="12">
        <v>83</v>
      </c>
      <c r="D26" s="8">
        <v>7.7</v>
      </c>
      <c r="E26" s="12">
        <v>21</v>
      </c>
      <c r="F26" s="8">
        <v>3.88</v>
      </c>
      <c r="G26" s="12">
        <v>62</v>
      </c>
      <c r="H26" s="8">
        <v>11.65</v>
      </c>
      <c r="I26" s="12">
        <v>0</v>
      </c>
    </row>
    <row r="27" spans="2:9" ht="15" customHeight="1" x14ac:dyDescent="0.2">
      <c r="B27" t="s">
        <v>109</v>
      </c>
      <c r="C27" s="12">
        <v>59</v>
      </c>
      <c r="D27" s="8">
        <v>5.47</v>
      </c>
      <c r="E27" s="12">
        <v>34</v>
      </c>
      <c r="F27" s="8">
        <v>6.28</v>
      </c>
      <c r="G27" s="12">
        <v>25</v>
      </c>
      <c r="H27" s="8">
        <v>4.7</v>
      </c>
      <c r="I27" s="12">
        <v>0</v>
      </c>
    </row>
    <row r="28" spans="2:9" ht="15" customHeight="1" x14ac:dyDescent="0.2">
      <c r="B28" t="s">
        <v>107</v>
      </c>
      <c r="C28" s="12">
        <v>57</v>
      </c>
      <c r="D28" s="8">
        <v>5.29</v>
      </c>
      <c r="E28" s="12">
        <v>33</v>
      </c>
      <c r="F28" s="8">
        <v>6.1</v>
      </c>
      <c r="G28" s="12">
        <v>24</v>
      </c>
      <c r="H28" s="8">
        <v>4.51</v>
      </c>
      <c r="I28" s="12">
        <v>0</v>
      </c>
    </row>
    <row r="29" spans="2:9" ht="15" customHeight="1" x14ac:dyDescent="0.2">
      <c r="B29" t="s">
        <v>106</v>
      </c>
      <c r="C29" s="12">
        <v>56</v>
      </c>
      <c r="D29" s="8">
        <v>5.19</v>
      </c>
      <c r="E29" s="12">
        <v>33</v>
      </c>
      <c r="F29" s="8">
        <v>6.1</v>
      </c>
      <c r="G29" s="12">
        <v>23</v>
      </c>
      <c r="H29" s="8">
        <v>4.32</v>
      </c>
      <c r="I29" s="12">
        <v>0</v>
      </c>
    </row>
    <row r="30" spans="2:9" ht="15" customHeight="1" x14ac:dyDescent="0.2">
      <c r="B30" t="s">
        <v>99</v>
      </c>
      <c r="C30" s="12">
        <v>47</v>
      </c>
      <c r="D30" s="8">
        <v>4.3600000000000003</v>
      </c>
      <c r="E30" s="12">
        <v>25</v>
      </c>
      <c r="F30" s="8">
        <v>4.62</v>
      </c>
      <c r="G30" s="12">
        <v>22</v>
      </c>
      <c r="H30" s="8">
        <v>4.1399999999999997</v>
      </c>
      <c r="I30" s="12">
        <v>0</v>
      </c>
    </row>
    <row r="31" spans="2:9" ht="15" customHeight="1" x14ac:dyDescent="0.2">
      <c r="B31" t="s">
        <v>115</v>
      </c>
      <c r="C31" s="12">
        <v>46</v>
      </c>
      <c r="D31" s="8">
        <v>4.2699999999999996</v>
      </c>
      <c r="E31" s="12">
        <v>40</v>
      </c>
      <c r="F31" s="8">
        <v>7.39</v>
      </c>
      <c r="G31" s="12">
        <v>6</v>
      </c>
      <c r="H31" s="8">
        <v>1.1299999999999999</v>
      </c>
      <c r="I31" s="12">
        <v>0</v>
      </c>
    </row>
    <row r="32" spans="2:9" ht="15" customHeight="1" x14ac:dyDescent="0.2">
      <c r="B32" t="s">
        <v>114</v>
      </c>
      <c r="C32" s="12">
        <v>41</v>
      </c>
      <c r="D32" s="8">
        <v>3.8</v>
      </c>
      <c r="E32" s="12">
        <v>30</v>
      </c>
      <c r="F32" s="8">
        <v>5.55</v>
      </c>
      <c r="G32" s="12">
        <v>9</v>
      </c>
      <c r="H32" s="8">
        <v>1.69</v>
      </c>
      <c r="I32" s="12">
        <v>0</v>
      </c>
    </row>
    <row r="33" spans="2:9" ht="15" customHeight="1" x14ac:dyDescent="0.2">
      <c r="B33" t="s">
        <v>100</v>
      </c>
      <c r="C33" s="12">
        <v>39</v>
      </c>
      <c r="D33" s="8">
        <v>3.62</v>
      </c>
      <c r="E33" s="12">
        <v>9</v>
      </c>
      <c r="F33" s="8">
        <v>1.66</v>
      </c>
      <c r="G33" s="12">
        <v>30</v>
      </c>
      <c r="H33" s="8">
        <v>5.64</v>
      </c>
      <c r="I33" s="12">
        <v>0</v>
      </c>
    </row>
    <row r="34" spans="2:9" ht="15" customHeight="1" x14ac:dyDescent="0.2">
      <c r="B34" t="s">
        <v>105</v>
      </c>
      <c r="C34" s="12">
        <v>38</v>
      </c>
      <c r="D34" s="8">
        <v>3.53</v>
      </c>
      <c r="E34" s="12">
        <v>23</v>
      </c>
      <c r="F34" s="8">
        <v>4.25</v>
      </c>
      <c r="G34" s="12">
        <v>15</v>
      </c>
      <c r="H34" s="8">
        <v>2.82</v>
      </c>
      <c r="I34" s="12">
        <v>0</v>
      </c>
    </row>
    <row r="35" spans="2:9" ht="15" customHeight="1" x14ac:dyDescent="0.2">
      <c r="B35" t="s">
        <v>110</v>
      </c>
      <c r="C35" s="12">
        <v>31</v>
      </c>
      <c r="D35" s="8">
        <v>2.88</v>
      </c>
      <c r="E35" s="12">
        <v>15</v>
      </c>
      <c r="F35" s="8">
        <v>2.77</v>
      </c>
      <c r="G35" s="12">
        <v>16</v>
      </c>
      <c r="H35" s="8">
        <v>3.01</v>
      </c>
      <c r="I35" s="12">
        <v>0</v>
      </c>
    </row>
    <row r="36" spans="2:9" ht="15" customHeight="1" x14ac:dyDescent="0.2">
      <c r="B36" t="s">
        <v>121</v>
      </c>
      <c r="C36" s="12">
        <v>28</v>
      </c>
      <c r="D36" s="8">
        <v>2.6</v>
      </c>
      <c r="E36" s="12">
        <v>3</v>
      </c>
      <c r="F36" s="8">
        <v>0.55000000000000004</v>
      </c>
      <c r="G36" s="12">
        <v>24</v>
      </c>
      <c r="H36" s="8">
        <v>4.51</v>
      </c>
      <c r="I36" s="12">
        <v>0</v>
      </c>
    </row>
    <row r="37" spans="2:9" ht="15" customHeight="1" x14ac:dyDescent="0.2">
      <c r="B37" t="s">
        <v>101</v>
      </c>
      <c r="C37" s="12">
        <v>24</v>
      </c>
      <c r="D37" s="8">
        <v>2.23</v>
      </c>
      <c r="E37" s="12">
        <v>6</v>
      </c>
      <c r="F37" s="8">
        <v>1.1100000000000001</v>
      </c>
      <c r="G37" s="12">
        <v>18</v>
      </c>
      <c r="H37" s="8">
        <v>3.38</v>
      </c>
      <c r="I37" s="12">
        <v>0</v>
      </c>
    </row>
    <row r="38" spans="2:9" ht="15" customHeight="1" x14ac:dyDescent="0.2">
      <c r="B38" t="s">
        <v>102</v>
      </c>
      <c r="C38" s="12">
        <v>22</v>
      </c>
      <c r="D38" s="8">
        <v>2.04</v>
      </c>
      <c r="E38" s="12">
        <v>0</v>
      </c>
      <c r="F38" s="8">
        <v>0</v>
      </c>
      <c r="G38" s="12">
        <v>22</v>
      </c>
      <c r="H38" s="8">
        <v>4.1399999999999997</v>
      </c>
      <c r="I38" s="12">
        <v>0</v>
      </c>
    </row>
    <row r="39" spans="2:9" ht="15" customHeight="1" x14ac:dyDescent="0.2">
      <c r="B39" t="s">
        <v>111</v>
      </c>
      <c r="C39" s="12">
        <v>21</v>
      </c>
      <c r="D39" s="8">
        <v>1.95</v>
      </c>
      <c r="E39" s="12">
        <v>8</v>
      </c>
      <c r="F39" s="8">
        <v>1.48</v>
      </c>
      <c r="G39" s="12">
        <v>13</v>
      </c>
      <c r="H39" s="8">
        <v>2.44</v>
      </c>
      <c r="I39" s="12">
        <v>0</v>
      </c>
    </row>
    <row r="40" spans="2:9" ht="15" customHeight="1" x14ac:dyDescent="0.2">
      <c r="B40" t="s">
        <v>123</v>
      </c>
      <c r="C40" s="12">
        <v>21</v>
      </c>
      <c r="D40" s="8">
        <v>1.95</v>
      </c>
      <c r="E40" s="12">
        <v>15</v>
      </c>
      <c r="F40" s="8">
        <v>2.77</v>
      </c>
      <c r="G40" s="12">
        <v>6</v>
      </c>
      <c r="H40" s="8">
        <v>1.1299999999999999</v>
      </c>
      <c r="I40" s="12">
        <v>0</v>
      </c>
    </row>
    <row r="41" spans="2:9" ht="15" customHeight="1" x14ac:dyDescent="0.2">
      <c r="B41" t="s">
        <v>118</v>
      </c>
      <c r="C41" s="12">
        <v>19</v>
      </c>
      <c r="D41" s="8">
        <v>1.76</v>
      </c>
      <c r="E41" s="12">
        <v>10</v>
      </c>
      <c r="F41" s="8">
        <v>1.85</v>
      </c>
      <c r="G41" s="12">
        <v>8</v>
      </c>
      <c r="H41" s="8">
        <v>1.5</v>
      </c>
      <c r="I41" s="12">
        <v>0</v>
      </c>
    </row>
    <row r="42" spans="2:9" ht="15" customHeight="1" x14ac:dyDescent="0.2">
      <c r="B42" t="s">
        <v>103</v>
      </c>
      <c r="C42" s="12">
        <v>17</v>
      </c>
      <c r="D42" s="8">
        <v>1.58</v>
      </c>
      <c r="E42" s="12">
        <v>0</v>
      </c>
      <c r="F42" s="8">
        <v>0</v>
      </c>
      <c r="G42" s="12">
        <v>17</v>
      </c>
      <c r="H42" s="8">
        <v>3.2</v>
      </c>
      <c r="I42" s="12">
        <v>0</v>
      </c>
    </row>
    <row r="43" spans="2:9" ht="15" customHeight="1" x14ac:dyDescent="0.2">
      <c r="B43" t="s">
        <v>108</v>
      </c>
      <c r="C43" s="12">
        <v>17</v>
      </c>
      <c r="D43" s="8">
        <v>1.58</v>
      </c>
      <c r="E43" s="12">
        <v>9</v>
      </c>
      <c r="F43" s="8">
        <v>1.66</v>
      </c>
      <c r="G43" s="12">
        <v>8</v>
      </c>
      <c r="H43" s="8">
        <v>1.5</v>
      </c>
      <c r="I43" s="12">
        <v>0</v>
      </c>
    </row>
    <row r="44" spans="2:9" ht="15" customHeight="1" x14ac:dyDescent="0.2">
      <c r="B44" t="s">
        <v>117</v>
      </c>
      <c r="C44" s="12">
        <v>17</v>
      </c>
      <c r="D44" s="8">
        <v>1.58</v>
      </c>
      <c r="E44" s="12">
        <v>2</v>
      </c>
      <c r="F44" s="8">
        <v>0.37</v>
      </c>
      <c r="G44" s="12">
        <v>15</v>
      </c>
      <c r="H44" s="8">
        <v>2.82</v>
      </c>
      <c r="I44" s="12">
        <v>0</v>
      </c>
    </row>
    <row r="47" spans="2:9" ht="33" customHeight="1" x14ac:dyDescent="0.2">
      <c r="B47" t="s">
        <v>287</v>
      </c>
      <c r="C47" s="10" t="s">
        <v>91</v>
      </c>
      <c r="D47" s="10" t="s">
        <v>92</v>
      </c>
      <c r="E47" s="10" t="s">
        <v>93</v>
      </c>
      <c r="F47" s="10" t="s">
        <v>94</v>
      </c>
      <c r="G47" s="10" t="s">
        <v>95</v>
      </c>
      <c r="H47" s="10" t="s">
        <v>96</v>
      </c>
      <c r="I47" s="10" t="s">
        <v>97</v>
      </c>
    </row>
    <row r="48" spans="2:9" ht="15" customHeight="1" x14ac:dyDescent="0.2">
      <c r="B48" t="s">
        <v>170</v>
      </c>
      <c r="C48" s="12">
        <v>55</v>
      </c>
      <c r="D48" s="8">
        <v>5.0999999999999996</v>
      </c>
      <c r="E48" s="12">
        <v>52</v>
      </c>
      <c r="F48" s="8">
        <v>9.61</v>
      </c>
      <c r="G48" s="12">
        <v>3</v>
      </c>
      <c r="H48" s="8">
        <v>0.56000000000000005</v>
      </c>
      <c r="I48" s="12">
        <v>0</v>
      </c>
    </row>
    <row r="49" spans="2:9" ht="15" customHeight="1" x14ac:dyDescent="0.2">
      <c r="B49" t="s">
        <v>164</v>
      </c>
      <c r="C49" s="12">
        <v>40</v>
      </c>
      <c r="D49" s="8">
        <v>3.71</v>
      </c>
      <c r="E49" s="12">
        <v>28</v>
      </c>
      <c r="F49" s="8">
        <v>5.18</v>
      </c>
      <c r="G49" s="12">
        <v>12</v>
      </c>
      <c r="H49" s="8">
        <v>2.2599999999999998</v>
      </c>
      <c r="I49" s="12">
        <v>0</v>
      </c>
    </row>
    <row r="50" spans="2:9" ht="15" customHeight="1" x14ac:dyDescent="0.2">
      <c r="B50" t="s">
        <v>159</v>
      </c>
      <c r="C50" s="12">
        <v>39</v>
      </c>
      <c r="D50" s="8">
        <v>3.62</v>
      </c>
      <c r="E50" s="12">
        <v>24</v>
      </c>
      <c r="F50" s="8">
        <v>4.4400000000000004</v>
      </c>
      <c r="G50" s="12">
        <v>15</v>
      </c>
      <c r="H50" s="8">
        <v>2.82</v>
      </c>
      <c r="I50" s="12">
        <v>0</v>
      </c>
    </row>
    <row r="51" spans="2:9" ht="15" customHeight="1" x14ac:dyDescent="0.2">
      <c r="B51" t="s">
        <v>172</v>
      </c>
      <c r="C51" s="12">
        <v>30</v>
      </c>
      <c r="D51" s="8">
        <v>2.78</v>
      </c>
      <c r="E51" s="12">
        <v>29</v>
      </c>
      <c r="F51" s="8">
        <v>5.36</v>
      </c>
      <c r="G51" s="12">
        <v>1</v>
      </c>
      <c r="H51" s="8">
        <v>0.19</v>
      </c>
      <c r="I51" s="12">
        <v>0</v>
      </c>
    </row>
    <row r="52" spans="2:9" ht="15" customHeight="1" x14ac:dyDescent="0.2">
      <c r="B52" t="s">
        <v>169</v>
      </c>
      <c r="C52" s="12">
        <v>28</v>
      </c>
      <c r="D52" s="8">
        <v>2.6</v>
      </c>
      <c r="E52" s="12">
        <v>26</v>
      </c>
      <c r="F52" s="8">
        <v>4.8099999999999996</v>
      </c>
      <c r="G52" s="12">
        <v>2</v>
      </c>
      <c r="H52" s="8">
        <v>0.38</v>
      </c>
      <c r="I52" s="12">
        <v>0</v>
      </c>
    </row>
    <row r="53" spans="2:9" ht="15" customHeight="1" x14ac:dyDescent="0.2">
      <c r="B53" t="s">
        <v>167</v>
      </c>
      <c r="C53" s="12">
        <v>27</v>
      </c>
      <c r="D53" s="8">
        <v>2.5</v>
      </c>
      <c r="E53" s="12">
        <v>24</v>
      </c>
      <c r="F53" s="8">
        <v>4.4400000000000004</v>
      </c>
      <c r="G53" s="12">
        <v>3</v>
      </c>
      <c r="H53" s="8">
        <v>0.56000000000000005</v>
      </c>
      <c r="I53" s="12">
        <v>0</v>
      </c>
    </row>
    <row r="54" spans="2:9" ht="15" customHeight="1" x14ac:dyDescent="0.2">
      <c r="B54" t="s">
        <v>154</v>
      </c>
      <c r="C54" s="12">
        <v>25</v>
      </c>
      <c r="D54" s="8">
        <v>2.3199999999999998</v>
      </c>
      <c r="E54" s="12">
        <v>3</v>
      </c>
      <c r="F54" s="8">
        <v>0.55000000000000004</v>
      </c>
      <c r="G54" s="12">
        <v>22</v>
      </c>
      <c r="H54" s="8">
        <v>4.1399999999999997</v>
      </c>
      <c r="I54" s="12">
        <v>0</v>
      </c>
    </row>
    <row r="55" spans="2:9" ht="15" customHeight="1" x14ac:dyDescent="0.2">
      <c r="B55" t="s">
        <v>155</v>
      </c>
      <c r="C55" s="12">
        <v>25</v>
      </c>
      <c r="D55" s="8">
        <v>2.3199999999999998</v>
      </c>
      <c r="E55" s="12">
        <v>5</v>
      </c>
      <c r="F55" s="8">
        <v>0.92</v>
      </c>
      <c r="G55" s="12">
        <v>20</v>
      </c>
      <c r="H55" s="8">
        <v>3.76</v>
      </c>
      <c r="I55" s="12">
        <v>0</v>
      </c>
    </row>
    <row r="56" spans="2:9" ht="15" customHeight="1" x14ac:dyDescent="0.2">
      <c r="B56" t="s">
        <v>171</v>
      </c>
      <c r="C56" s="12">
        <v>25</v>
      </c>
      <c r="D56" s="8">
        <v>2.3199999999999998</v>
      </c>
      <c r="E56" s="12">
        <v>21</v>
      </c>
      <c r="F56" s="8">
        <v>3.88</v>
      </c>
      <c r="G56" s="12">
        <v>4</v>
      </c>
      <c r="H56" s="8">
        <v>0.75</v>
      </c>
      <c r="I56" s="12">
        <v>0</v>
      </c>
    </row>
    <row r="57" spans="2:9" ht="15" customHeight="1" x14ac:dyDescent="0.2">
      <c r="B57" t="s">
        <v>218</v>
      </c>
      <c r="C57" s="12">
        <v>24</v>
      </c>
      <c r="D57" s="8">
        <v>2.23</v>
      </c>
      <c r="E57" s="12">
        <v>2</v>
      </c>
      <c r="F57" s="8">
        <v>0.37</v>
      </c>
      <c r="G57" s="12">
        <v>21</v>
      </c>
      <c r="H57" s="8">
        <v>3.95</v>
      </c>
      <c r="I57" s="12">
        <v>0</v>
      </c>
    </row>
    <row r="58" spans="2:9" ht="15" customHeight="1" x14ac:dyDescent="0.2">
      <c r="B58" t="s">
        <v>186</v>
      </c>
      <c r="C58" s="12">
        <v>23</v>
      </c>
      <c r="D58" s="8">
        <v>2.13</v>
      </c>
      <c r="E58" s="12">
        <v>10</v>
      </c>
      <c r="F58" s="8">
        <v>1.85</v>
      </c>
      <c r="G58" s="12">
        <v>13</v>
      </c>
      <c r="H58" s="8">
        <v>2.44</v>
      </c>
      <c r="I58" s="12">
        <v>0</v>
      </c>
    </row>
    <row r="59" spans="2:9" ht="15" customHeight="1" x14ac:dyDescent="0.2">
      <c r="B59" t="s">
        <v>173</v>
      </c>
      <c r="C59" s="12">
        <v>21</v>
      </c>
      <c r="D59" s="8">
        <v>1.95</v>
      </c>
      <c r="E59" s="12">
        <v>15</v>
      </c>
      <c r="F59" s="8">
        <v>2.77</v>
      </c>
      <c r="G59" s="12">
        <v>6</v>
      </c>
      <c r="H59" s="8">
        <v>1.1299999999999999</v>
      </c>
      <c r="I59" s="12">
        <v>0</v>
      </c>
    </row>
    <row r="60" spans="2:9" ht="15" customHeight="1" x14ac:dyDescent="0.2">
      <c r="B60" t="s">
        <v>166</v>
      </c>
      <c r="C60" s="12">
        <v>20</v>
      </c>
      <c r="D60" s="8">
        <v>1.86</v>
      </c>
      <c r="E60" s="12">
        <v>18</v>
      </c>
      <c r="F60" s="8">
        <v>3.33</v>
      </c>
      <c r="G60" s="12">
        <v>2</v>
      </c>
      <c r="H60" s="8">
        <v>0.38</v>
      </c>
      <c r="I60" s="12">
        <v>0</v>
      </c>
    </row>
    <row r="61" spans="2:9" ht="15" customHeight="1" x14ac:dyDescent="0.2">
      <c r="B61" t="s">
        <v>168</v>
      </c>
      <c r="C61" s="12">
        <v>19</v>
      </c>
      <c r="D61" s="8">
        <v>1.76</v>
      </c>
      <c r="E61" s="12">
        <v>19</v>
      </c>
      <c r="F61" s="8">
        <v>3.51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156</v>
      </c>
      <c r="C62" s="12">
        <v>15</v>
      </c>
      <c r="D62" s="8">
        <v>1.39</v>
      </c>
      <c r="E62" s="12">
        <v>5</v>
      </c>
      <c r="F62" s="8">
        <v>0.92</v>
      </c>
      <c r="G62" s="12">
        <v>10</v>
      </c>
      <c r="H62" s="8">
        <v>1.88</v>
      </c>
      <c r="I62" s="12">
        <v>0</v>
      </c>
    </row>
    <row r="63" spans="2:9" ht="15" customHeight="1" x14ac:dyDescent="0.2">
      <c r="B63" t="s">
        <v>174</v>
      </c>
      <c r="C63" s="12">
        <v>15</v>
      </c>
      <c r="D63" s="8">
        <v>1.39</v>
      </c>
      <c r="E63" s="12">
        <v>3</v>
      </c>
      <c r="F63" s="8">
        <v>0.55000000000000004</v>
      </c>
      <c r="G63" s="12">
        <v>12</v>
      </c>
      <c r="H63" s="8">
        <v>2.2599999999999998</v>
      </c>
      <c r="I63" s="12">
        <v>0</v>
      </c>
    </row>
    <row r="64" spans="2:9" ht="15" customHeight="1" x14ac:dyDescent="0.2">
      <c r="B64" t="s">
        <v>161</v>
      </c>
      <c r="C64" s="12">
        <v>15</v>
      </c>
      <c r="D64" s="8">
        <v>1.39</v>
      </c>
      <c r="E64" s="12">
        <v>11</v>
      </c>
      <c r="F64" s="8">
        <v>2.0299999999999998</v>
      </c>
      <c r="G64" s="12">
        <v>4</v>
      </c>
      <c r="H64" s="8">
        <v>0.75</v>
      </c>
      <c r="I64" s="12">
        <v>0</v>
      </c>
    </row>
    <row r="65" spans="2:9" ht="15" customHeight="1" x14ac:dyDescent="0.2">
      <c r="B65" t="s">
        <v>177</v>
      </c>
      <c r="C65" s="12">
        <v>14</v>
      </c>
      <c r="D65" s="8">
        <v>1.3</v>
      </c>
      <c r="E65" s="12">
        <v>11</v>
      </c>
      <c r="F65" s="8">
        <v>2.0299999999999998</v>
      </c>
      <c r="G65" s="12">
        <v>3</v>
      </c>
      <c r="H65" s="8">
        <v>0.56000000000000005</v>
      </c>
      <c r="I65" s="12">
        <v>0</v>
      </c>
    </row>
    <row r="66" spans="2:9" ht="15" customHeight="1" x14ac:dyDescent="0.2">
      <c r="B66" t="s">
        <v>160</v>
      </c>
      <c r="C66" s="12">
        <v>14</v>
      </c>
      <c r="D66" s="8">
        <v>1.3</v>
      </c>
      <c r="E66" s="12">
        <v>3</v>
      </c>
      <c r="F66" s="8">
        <v>0.55000000000000004</v>
      </c>
      <c r="G66" s="12">
        <v>11</v>
      </c>
      <c r="H66" s="8">
        <v>2.0699999999999998</v>
      </c>
      <c r="I66" s="12">
        <v>0</v>
      </c>
    </row>
    <row r="67" spans="2:9" ht="15" customHeight="1" x14ac:dyDescent="0.2">
      <c r="B67" t="s">
        <v>163</v>
      </c>
      <c r="C67" s="12">
        <v>14</v>
      </c>
      <c r="D67" s="8">
        <v>1.3</v>
      </c>
      <c r="E67" s="12">
        <v>3</v>
      </c>
      <c r="F67" s="8">
        <v>0.55000000000000004</v>
      </c>
      <c r="G67" s="12">
        <v>11</v>
      </c>
      <c r="H67" s="8">
        <v>2.0699999999999998</v>
      </c>
      <c r="I67" s="12">
        <v>0</v>
      </c>
    </row>
    <row r="68" spans="2:9" ht="15" customHeight="1" x14ac:dyDescent="0.2">
      <c r="B68" t="s">
        <v>179</v>
      </c>
      <c r="C68" s="12">
        <v>14</v>
      </c>
      <c r="D68" s="8">
        <v>1.3</v>
      </c>
      <c r="E68" s="12">
        <v>12</v>
      </c>
      <c r="F68" s="8">
        <v>2.2200000000000002</v>
      </c>
      <c r="G68" s="12">
        <v>2</v>
      </c>
      <c r="H68" s="8">
        <v>0.38</v>
      </c>
      <c r="I68" s="12">
        <v>0</v>
      </c>
    </row>
    <row r="70" spans="2:9" ht="15" customHeight="1" x14ac:dyDescent="0.2">
      <c r="B70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C58E5-75E2-4382-A94E-7BD7839DE92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324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169</v>
      </c>
      <c r="D6" s="8">
        <v>15.79</v>
      </c>
      <c r="E6" s="12">
        <v>58</v>
      </c>
      <c r="F6" s="8">
        <v>9.83</v>
      </c>
      <c r="G6" s="12">
        <v>111</v>
      </c>
      <c r="H6" s="8">
        <v>23.42</v>
      </c>
      <c r="I6" s="12">
        <v>0</v>
      </c>
    </row>
    <row r="7" spans="2:9" ht="15" customHeight="1" x14ac:dyDescent="0.2">
      <c r="B7" t="s">
        <v>77</v>
      </c>
      <c r="C7" s="12">
        <v>63</v>
      </c>
      <c r="D7" s="8">
        <v>5.89</v>
      </c>
      <c r="E7" s="12">
        <v>36</v>
      </c>
      <c r="F7" s="8">
        <v>6.1</v>
      </c>
      <c r="G7" s="12">
        <v>27</v>
      </c>
      <c r="H7" s="8">
        <v>5.7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0.09</v>
      </c>
      <c r="E8" s="12">
        <v>0</v>
      </c>
      <c r="F8" s="8">
        <v>0</v>
      </c>
      <c r="G8" s="12">
        <v>1</v>
      </c>
      <c r="H8" s="8">
        <v>0.21</v>
      </c>
      <c r="I8" s="12">
        <v>0</v>
      </c>
    </row>
    <row r="9" spans="2:9" ht="15" customHeight="1" x14ac:dyDescent="0.2">
      <c r="B9" t="s">
        <v>79</v>
      </c>
      <c r="C9" s="12">
        <v>10</v>
      </c>
      <c r="D9" s="8">
        <v>0.93</v>
      </c>
      <c r="E9" s="12">
        <v>1</v>
      </c>
      <c r="F9" s="8">
        <v>0.17</v>
      </c>
      <c r="G9" s="12">
        <v>9</v>
      </c>
      <c r="H9" s="8">
        <v>1.9</v>
      </c>
      <c r="I9" s="12">
        <v>0</v>
      </c>
    </row>
    <row r="10" spans="2:9" ht="15" customHeight="1" x14ac:dyDescent="0.2">
      <c r="B10" t="s">
        <v>80</v>
      </c>
      <c r="C10" s="12">
        <v>2</v>
      </c>
      <c r="D10" s="8">
        <v>0.19</v>
      </c>
      <c r="E10" s="12">
        <v>0</v>
      </c>
      <c r="F10" s="8">
        <v>0</v>
      </c>
      <c r="G10" s="12">
        <v>2</v>
      </c>
      <c r="H10" s="8">
        <v>0.42</v>
      </c>
      <c r="I10" s="12">
        <v>0</v>
      </c>
    </row>
    <row r="11" spans="2:9" ht="15" customHeight="1" x14ac:dyDescent="0.2">
      <c r="B11" t="s">
        <v>81</v>
      </c>
      <c r="C11" s="12">
        <v>252</v>
      </c>
      <c r="D11" s="8">
        <v>23.55</v>
      </c>
      <c r="E11" s="12">
        <v>127</v>
      </c>
      <c r="F11" s="8">
        <v>21.53</v>
      </c>
      <c r="G11" s="12">
        <v>125</v>
      </c>
      <c r="H11" s="8">
        <v>26.37</v>
      </c>
      <c r="I11" s="12">
        <v>0</v>
      </c>
    </row>
    <row r="12" spans="2:9" ht="15" customHeight="1" x14ac:dyDescent="0.2">
      <c r="B12" t="s">
        <v>82</v>
      </c>
      <c r="C12" s="12">
        <v>9</v>
      </c>
      <c r="D12" s="8">
        <v>0.84</v>
      </c>
      <c r="E12" s="12">
        <v>2</v>
      </c>
      <c r="F12" s="8">
        <v>0.34</v>
      </c>
      <c r="G12" s="12">
        <v>7</v>
      </c>
      <c r="H12" s="8">
        <v>1.48</v>
      </c>
      <c r="I12" s="12">
        <v>0</v>
      </c>
    </row>
    <row r="13" spans="2:9" ht="15" customHeight="1" x14ac:dyDescent="0.2">
      <c r="B13" t="s">
        <v>83</v>
      </c>
      <c r="C13" s="12">
        <v>75</v>
      </c>
      <c r="D13" s="8">
        <v>7.01</v>
      </c>
      <c r="E13" s="12">
        <v>13</v>
      </c>
      <c r="F13" s="8">
        <v>2.2000000000000002</v>
      </c>
      <c r="G13" s="12">
        <v>61</v>
      </c>
      <c r="H13" s="8">
        <v>12.87</v>
      </c>
      <c r="I13" s="12">
        <v>1</v>
      </c>
    </row>
    <row r="14" spans="2:9" ht="15" customHeight="1" x14ac:dyDescent="0.2">
      <c r="B14" t="s">
        <v>84</v>
      </c>
      <c r="C14" s="12">
        <v>61</v>
      </c>
      <c r="D14" s="8">
        <v>5.7</v>
      </c>
      <c r="E14" s="12">
        <v>35</v>
      </c>
      <c r="F14" s="8">
        <v>5.93</v>
      </c>
      <c r="G14" s="12">
        <v>26</v>
      </c>
      <c r="H14" s="8">
        <v>5.49</v>
      </c>
      <c r="I14" s="12">
        <v>0</v>
      </c>
    </row>
    <row r="15" spans="2:9" ht="15" customHeight="1" x14ac:dyDescent="0.2">
      <c r="B15" t="s">
        <v>85</v>
      </c>
      <c r="C15" s="12">
        <v>123</v>
      </c>
      <c r="D15" s="8">
        <v>11.5</v>
      </c>
      <c r="E15" s="12">
        <v>99</v>
      </c>
      <c r="F15" s="8">
        <v>16.78</v>
      </c>
      <c r="G15" s="12">
        <v>23</v>
      </c>
      <c r="H15" s="8">
        <v>4.8499999999999996</v>
      </c>
      <c r="I15" s="12">
        <v>0</v>
      </c>
    </row>
    <row r="16" spans="2:9" ht="15" customHeight="1" x14ac:dyDescent="0.2">
      <c r="B16" t="s">
        <v>86</v>
      </c>
      <c r="C16" s="12">
        <v>153</v>
      </c>
      <c r="D16" s="8">
        <v>14.3</v>
      </c>
      <c r="E16" s="12">
        <v>111</v>
      </c>
      <c r="F16" s="8">
        <v>18.809999999999999</v>
      </c>
      <c r="G16" s="12">
        <v>42</v>
      </c>
      <c r="H16" s="8">
        <v>8.86</v>
      </c>
      <c r="I16" s="12">
        <v>0</v>
      </c>
    </row>
    <row r="17" spans="2:9" ht="15" customHeight="1" x14ac:dyDescent="0.2">
      <c r="B17" t="s">
        <v>87</v>
      </c>
      <c r="C17" s="12">
        <v>48</v>
      </c>
      <c r="D17" s="8">
        <v>4.49</v>
      </c>
      <c r="E17" s="12">
        <v>38</v>
      </c>
      <c r="F17" s="8">
        <v>6.44</v>
      </c>
      <c r="G17" s="12">
        <v>8</v>
      </c>
      <c r="H17" s="8">
        <v>1.69</v>
      </c>
      <c r="I17" s="12">
        <v>0</v>
      </c>
    </row>
    <row r="18" spans="2:9" ht="15" customHeight="1" x14ac:dyDescent="0.2">
      <c r="B18" t="s">
        <v>88</v>
      </c>
      <c r="C18" s="12">
        <v>69</v>
      </c>
      <c r="D18" s="8">
        <v>6.45</v>
      </c>
      <c r="E18" s="12">
        <v>49</v>
      </c>
      <c r="F18" s="8">
        <v>8.31</v>
      </c>
      <c r="G18" s="12">
        <v>19</v>
      </c>
      <c r="H18" s="8">
        <v>4.01</v>
      </c>
      <c r="I18" s="12">
        <v>0</v>
      </c>
    </row>
    <row r="19" spans="2:9" ht="15" customHeight="1" x14ac:dyDescent="0.2">
      <c r="B19" t="s">
        <v>89</v>
      </c>
      <c r="C19" s="12">
        <v>35</v>
      </c>
      <c r="D19" s="8">
        <v>3.27</v>
      </c>
      <c r="E19" s="12">
        <v>21</v>
      </c>
      <c r="F19" s="8">
        <v>3.56</v>
      </c>
      <c r="G19" s="12">
        <v>13</v>
      </c>
      <c r="H19" s="8">
        <v>2.74</v>
      </c>
      <c r="I19" s="12">
        <v>0</v>
      </c>
    </row>
    <row r="20" spans="2:9" ht="15" customHeight="1" x14ac:dyDescent="0.2">
      <c r="B20" s="9" t="s">
        <v>285</v>
      </c>
      <c r="C20" s="12">
        <f>SUM(LTBL_40224[総数／事業所数])</f>
        <v>1070</v>
      </c>
      <c r="E20" s="12">
        <f>SUBTOTAL(109,LTBL_40224[個人／事業所数])</f>
        <v>590</v>
      </c>
      <c r="G20" s="12">
        <f>SUBTOTAL(109,LTBL_40224[法人／事業所数])</f>
        <v>474</v>
      </c>
      <c r="I20" s="12">
        <f>SUBTOTAL(109,LTBL_40224[法人以外の団体／事業所数])</f>
        <v>1</v>
      </c>
    </row>
    <row r="21" spans="2:9" ht="15" customHeight="1" x14ac:dyDescent="0.2">
      <c r="E21" s="11">
        <f>LTBL_40224[[#Totals],[個人／事業所数]]/LTBL_40224[[#Totals],[総数／事業所数]]</f>
        <v>0.55140186915887845</v>
      </c>
      <c r="G21" s="11">
        <f>LTBL_40224[[#Totals],[法人／事業所数]]/LTBL_40224[[#Totals],[総数／事業所数]]</f>
        <v>0.44299065420560746</v>
      </c>
      <c r="I21" s="11">
        <f>LTBL_40224[[#Totals],[法人以外の団体／事業所数]]/LTBL_40224[[#Totals],[総数／事業所数]]</f>
        <v>9.3457943925233649E-4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120</v>
      </c>
      <c r="D24" s="8">
        <v>11.21</v>
      </c>
      <c r="E24" s="12">
        <v>93</v>
      </c>
      <c r="F24" s="8">
        <v>15.76</v>
      </c>
      <c r="G24" s="12">
        <v>27</v>
      </c>
      <c r="H24" s="8">
        <v>5.7</v>
      </c>
      <c r="I24" s="12">
        <v>0</v>
      </c>
    </row>
    <row r="25" spans="2:9" ht="15" customHeight="1" x14ac:dyDescent="0.2">
      <c r="B25" t="s">
        <v>112</v>
      </c>
      <c r="C25" s="12">
        <v>108</v>
      </c>
      <c r="D25" s="8">
        <v>10.09</v>
      </c>
      <c r="E25" s="12">
        <v>95</v>
      </c>
      <c r="F25" s="8">
        <v>16.100000000000001</v>
      </c>
      <c r="G25" s="12">
        <v>13</v>
      </c>
      <c r="H25" s="8">
        <v>2.74</v>
      </c>
      <c r="I25" s="12">
        <v>0</v>
      </c>
    </row>
    <row r="26" spans="2:9" ht="15" customHeight="1" x14ac:dyDescent="0.2">
      <c r="B26" t="s">
        <v>98</v>
      </c>
      <c r="C26" s="12">
        <v>97</v>
      </c>
      <c r="D26" s="8">
        <v>9.07</v>
      </c>
      <c r="E26" s="12">
        <v>21</v>
      </c>
      <c r="F26" s="8">
        <v>3.56</v>
      </c>
      <c r="G26" s="12">
        <v>76</v>
      </c>
      <c r="H26" s="8">
        <v>16.03</v>
      </c>
      <c r="I26" s="12">
        <v>0</v>
      </c>
    </row>
    <row r="27" spans="2:9" ht="15" customHeight="1" x14ac:dyDescent="0.2">
      <c r="B27" t="s">
        <v>105</v>
      </c>
      <c r="C27" s="12">
        <v>64</v>
      </c>
      <c r="D27" s="8">
        <v>5.98</v>
      </c>
      <c r="E27" s="12">
        <v>48</v>
      </c>
      <c r="F27" s="8">
        <v>8.14</v>
      </c>
      <c r="G27" s="12">
        <v>16</v>
      </c>
      <c r="H27" s="8">
        <v>3.38</v>
      </c>
      <c r="I27" s="12">
        <v>0</v>
      </c>
    </row>
    <row r="28" spans="2:9" ht="15" customHeight="1" x14ac:dyDescent="0.2">
      <c r="B28" t="s">
        <v>107</v>
      </c>
      <c r="C28" s="12">
        <v>62</v>
      </c>
      <c r="D28" s="8">
        <v>5.79</v>
      </c>
      <c r="E28" s="12">
        <v>33</v>
      </c>
      <c r="F28" s="8">
        <v>5.59</v>
      </c>
      <c r="G28" s="12">
        <v>29</v>
      </c>
      <c r="H28" s="8">
        <v>6.12</v>
      </c>
      <c r="I28" s="12">
        <v>0</v>
      </c>
    </row>
    <row r="29" spans="2:9" ht="15" customHeight="1" x14ac:dyDescent="0.2">
      <c r="B29" t="s">
        <v>115</v>
      </c>
      <c r="C29" s="12">
        <v>53</v>
      </c>
      <c r="D29" s="8">
        <v>4.95</v>
      </c>
      <c r="E29" s="12">
        <v>48</v>
      </c>
      <c r="F29" s="8">
        <v>8.14</v>
      </c>
      <c r="G29" s="12">
        <v>5</v>
      </c>
      <c r="H29" s="8">
        <v>1.05</v>
      </c>
      <c r="I29" s="12">
        <v>0</v>
      </c>
    </row>
    <row r="30" spans="2:9" ht="15" customHeight="1" x14ac:dyDescent="0.2">
      <c r="B30" t="s">
        <v>114</v>
      </c>
      <c r="C30" s="12">
        <v>48</v>
      </c>
      <c r="D30" s="8">
        <v>4.49</v>
      </c>
      <c r="E30" s="12">
        <v>38</v>
      </c>
      <c r="F30" s="8">
        <v>6.44</v>
      </c>
      <c r="G30" s="12">
        <v>8</v>
      </c>
      <c r="H30" s="8">
        <v>1.69</v>
      </c>
      <c r="I30" s="12">
        <v>0</v>
      </c>
    </row>
    <row r="31" spans="2:9" ht="15" customHeight="1" x14ac:dyDescent="0.2">
      <c r="B31" t="s">
        <v>100</v>
      </c>
      <c r="C31" s="12">
        <v>44</v>
      </c>
      <c r="D31" s="8">
        <v>4.1100000000000003</v>
      </c>
      <c r="E31" s="12">
        <v>19</v>
      </c>
      <c r="F31" s="8">
        <v>3.22</v>
      </c>
      <c r="G31" s="12">
        <v>25</v>
      </c>
      <c r="H31" s="8">
        <v>5.27</v>
      </c>
      <c r="I31" s="12">
        <v>0</v>
      </c>
    </row>
    <row r="32" spans="2:9" ht="15" customHeight="1" x14ac:dyDescent="0.2">
      <c r="B32" t="s">
        <v>109</v>
      </c>
      <c r="C32" s="12">
        <v>41</v>
      </c>
      <c r="D32" s="8">
        <v>3.83</v>
      </c>
      <c r="E32" s="12">
        <v>9</v>
      </c>
      <c r="F32" s="8">
        <v>1.53</v>
      </c>
      <c r="G32" s="12">
        <v>31</v>
      </c>
      <c r="H32" s="8">
        <v>6.54</v>
      </c>
      <c r="I32" s="12">
        <v>1</v>
      </c>
    </row>
    <row r="33" spans="2:9" ht="15" customHeight="1" x14ac:dyDescent="0.2">
      <c r="B33" t="s">
        <v>104</v>
      </c>
      <c r="C33" s="12">
        <v>39</v>
      </c>
      <c r="D33" s="8">
        <v>3.64</v>
      </c>
      <c r="E33" s="12">
        <v>9</v>
      </c>
      <c r="F33" s="8">
        <v>1.53</v>
      </c>
      <c r="G33" s="12">
        <v>30</v>
      </c>
      <c r="H33" s="8">
        <v>6.33</v>
      </c>
      <c r="I33" s="12">
        <v>0</v>
      </c>
    </row>
    <row r="34" spans="2:9" ht="15" customHeight="1" x14ac:dyDescent="0.2">
      <c r="B34" t="s">
        <v>110</v>
      </c>
      <c r="C34" s="12">
        <v>39</v>
      </c>
      <c r="D34" s="8">
        <v>3.64</v>
      </c>
      <c r="E34" s="12">
        <v>26</v>
      </c>
      <c r="F34" s="8">
        <v>4.41</v>
      </c>
      <c r="G34" s="12">
        <v>13</v>
      </c>
      <c r="H34" s="8">
        <v>2.74</v>
      </c>
      <c r="I34" s="12">
        <v>0</v>
      </c>
    </row>
    <row r="35" spans="2:9" ht="15" customHeight="1" x14ac:dyDescent="0.2">
      <c r="B35" t="s">
        <v>106</v>
      </c>
      <c r="C35" s="12">
        <v>31</v>
      </c>
      <c r="D35" s="8">
        <v>2.9</v>
      </c>
      <c r="E35" s="12">
        <v>21</v>
      </c>
      <c r="F35" s="8">
        <v>3.56</v>
      </c>
      <c r="G35" s="12">
        <v>10</v>
      </c>
      <c r="H35" s="8">
        <v>2.11</v>
      </c>
      <c r="I35" s="12">
        <v>0</v>
      </c>
    </row>
    <row r="36" spans="2:9" ht="15" customHeight="1" x14ac:dyDescent="0.2">
      <c r="B36" t="s">
        <v>99</v>
      </c>
      <c r="C36" s="12">
        <v>28</v>
      </c>
      <c r="D36" s="8">
        <v>2.62</v>
      </c>
      <c r="E36" s="12">
        <v>18</v>
      </c>
      <c r="F36" s="8">
        <v>3.05</v>
      </c>
      <c r="G36" s="12">
        <v>10</v>
      </c>
      <c r="H36" s="8">
        <v>2.11</v>
      </c>
      <c r="I36" s="12">
        <v>0</v>
      </c>
    </row>
    <row r="37" spans="2:9" ht="15" customHeight="1" x14ac:dyDescent="0.2">
      <c r="B37" t="s">
        <v>108</v>
      </c>
      <c r="C37" s="12">
        <v>26</v>
      </c>
      <c r="D37" s="8">
        <v>2.4300000000000002</v>
      </c>
      <c r="E37" s="12">
        <v>4</v>
      </c>
      <c r="F37" s="8">
        <v>0.68</v>
      </c>
      <c r="G37" s="12">
        <v>22</v>
      </c>
      <c r="H37" s="8">
        <v>4.6399999999999997</v>
      </c>
      <c r="I37" s="12">
        <v>0</v>
      </c>
    </row>
    <row r="38" spans="2:9" ht="15" customHeight="1" x14ac:dyDescent="0.2">
      <c r="B38" t="s">
        <v>123</v>
      </c>
      <c r="C38" s="12">
        <v>20</v>
      </c>
      <c r="D38" s="8">
        <v>1.87</v>
      </c>
      <c r="E38" s="12">
        <v>17</v>
      </c>
      <c r="F38" s="8">
        <v>2.88</v>
      </c>
      <c r="G38" s="12">
        <v>3</v>
      </c>
      <c r="H38" s="8">
        <v>0.63</v>
      </c>
      <c r="I38" s="12">
        <v>0</v>
      </c>
    </row>
    <row r="39" spans="2:9" ht="15" customHeight="1" x14ac:dyDescent="0.2">
      <c r="B39" t="s">
        <v>111</v>
      </c>
      <c r="C39" s="12">
        <v>19</v>
      </c>
      <c r="D39" s="8">
        <v>1.78</v>
      </c>
      <c r="E39" s="12">
        <v>9</v>
      </c>
      <c r="F39" s="8">
        <v>1.53</v>
      </c>
      <c r="G39" s="12">
        <v>10</v>
      </c>
      <c r="H39" s="8">
        <v>2.11</v>
      </c>
      <c r="I39" s="12">
        <v>0</v>
      </c>
    </row>
    <row r="40" spans="2:9" ht="15" customHeight="1" x14ac:dyDescent="0.2">
      <c r="B40" t="s">
        <v>118</v>
      </c>
      <c r="C40" s="12">
        <v>17</v>
      </c>
      <c r="D40" s="8">
        <v>1.59</v>
      </c>
      <c r="E40" s="12">
        <v>8</v>
      </c>
      <c r="F40" s="8">
        <v>1.36</v>
      </c>
      <c r="G40" s="12">
        <v>9</v>
      </c>
      <c r="H40" s="8">
        <v>1.9</v>
      </c>
      <c r="I40" s="12">
        <v>0</v>
      </c>
    </row>
    <row r="41" spans="2:9" ht="15" customHeight="1" x14ac:dyDescent="0.2">
      <c r="B41" t="s">
        <v>127</v>
      </c>
      <c r="C41" s="12">
        <v>16</v>
      </c>
      <c r="D41" s="8">
        <v>1.5</v>
      </c>
      <c r="E41" s="12">
        <v>10</v>
      </c>
      <c r="F41" s="8">
        <v>1.69</v>
      </c>
      <c r="G41" s="12">
        <v>6</v>
      </c>
      <c r="H41" s="8">
        <v>1.27</v>
      </c>
      <c r="I41" s="12">
        <v>0</v>
      </c>
    </row>
    <row r="42" spans="2:9" ht="15" customHeight="1" x14ac:dyDescent="0.2">
      <c r="B42" t="s">
        <v>116</v>
      </c>
      <c r="C42" s="12">
        <v>16</v>
      </c>
      <c r="D42" s="8">
        <v>1.5</v>
      </c>
      <c r="E42" s="12">
        <v>1</v>
      </c>
      <c r="F42" s="8">
        <v>0.17</v>
      </c>
      <c r="G42" s="12">
        <v>14</v>
      </c>
      <c r="H42" s="8">
        <v>2.95</v>
      </c>
      <c r="I42" s="12">
        <v>0</v>
      </c>
    </row>
    <row r="43" spans="2:9" ht="15" customHeight="1" x14ac:dyDescent="0.2">
      <c r="B43" t="s">
        <v>126</v>
      </c>
      <c r="C43" s="12">
        <v>15</v>
      </c>
      <c r="D43" s="8">
        <v>1.4</v>
      </c>
      <c r="E43" s="12">
        <v>4</v>
      </c>
      <c r="F43" s="8">
        <v>0.68</v>
      </c>
      <c r="G43" s="12">
        <v>11</v>
      </c>
      <c r="H43" s="8">
        <v>2.3199999999999998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170</v>
      </c>
      <c r="C47" s="12">
        <v>58</v>
      </c>
      <c r="D47" s="8">
        <v>5.42</v>
      </c>
      <c r="E47" s="12">
        <v>50</v>
      </c>
      <c r="F47" s="8">
        <v>8.4700000000000006</v>
      </c>
      <c r="G47" s="12">
        <v>8</v>
      </c>
      <c r="H47" s="8">
        <v>1.69</v>
      </c>
      <c r="I47" s="12">
        <v>0</v>
      </c>
    </row>
    <row r="48" spans="2:9" ht="15" customHeight="1" x14ac:dyDescent="0.2">
      <c r="B48" t="s">
        <v>172</v>
      </c>
      <c r="C48" s="12">
        <v>41</v>
      </c>
      <c r="D48" s="8">
        <v>3.83</v>
      </c>
      <c r="E48" s="12">
        <v>37</v>
      </c>
      <c r="F48" s="8">
        <v>6.27</v>
      </c>
      <c r="G48" s="12">
        <v>4</v>
      </c>
      <c r="H48" s="8">
        <v>0.84</v>
      </c>
      <c r="I48" s="12">
        <v>0</v>
      </c>
    </row>
    <row r="49" spans="2:9" ht="15" customHeight="1" x14ac:dyDescent="0.2">
      <c r="B49" t="s">
        <v>169</v>
      </c>
      <c r="C49" s="12">
        <v>36</v>
      </c>
      <c r="D49" s="8">
        <v>3.36</v>
      </c>
      <c r="E49" s="12">
        <v>34</v>
      </c>
      <c r="F49" s="8">
        <v>5.76</v>
      </c>
      <c r="G49" s="12">
        <v>2</v>
      </c>
      <c r="H49" s="8">
        <v>0.42</v>
      </c>
      <c r="I49" s="12">
        <v>0</v>
      </c>
    </row>
    <row r="50" spans="2:9" ht="15" customHeight="1" x14ac:dyDescent="0.2">
      <c r="B50" t="s">
        <v>154</v>
      </c>
      <c r="C50" s="12">
        <v>35</v>
      </c>
      <c r="D50" s="8">
        <v>3.27</v>
      </c>
      <c r="E50" s="12">
        <v>3</v>
      </c>
      <c r="F50" s="8">
        <v>0.51</v>
      </c>
      <c r="G50" s="12">
        <v>32</v>
      </c>
      <c r="H50" s="8">
        <v>6.75</v>
      </c>
      <c r="I50" s="12">
        <v>0</v>
      </c>
    </row>
    <row r="51" spans="2:9" ht="15" customHeight="1" x14ac:dyDescent="0.2">
      <c r="B51" t="s">
        <v>171</v>
      </c>
      <c r="C51" s="12">
        <v>35</v>
      </c>
      <c r="D51" s="8">
        <v>3.27</v>
      </c>
      <c r="E51" s="12">
        <v>32</v>
      </c>
      <c r="F51" s="8">
        <v>5.42</v>
      </c>
      <c r="G51" s="12">
        <v>3</v>
      </c>
      <c r="H51" s="8">
        <v>0.63</v>
      </c>
      <c r="I51" s="12">
        <v>0</v>
      </c>
    </row>
    <row r="52" spans="2:9" ht="15" customHeight="1" x14ac:dyDescent="0.2">
      <c r="B52" t="s">
        <v>186</v>
      </c>
      <c r="C52" s="12">
        <v>31</v>
      </c>
      <c r="D52" s="8">
        <v>2.9</v>
      </c>
      <c r="E52" s="12">
        <v>14</v>
      </c>
      <c r="F52" s="8">
        <v>2.37</v>
      </c>
      <c r="G52" s="12">
        <v>17</v>
      </c>
      <c r="H52" s="8">
        <v>3.59</v>
      </c>
      <c r="I52" s="12">
        <v>0</v>
      </c>
    </row>
    <row r="53" spans="2:9" ht="15" customHeight="1" x14ac:dyDescent="0.2">
      <c r="B53" t="s">
        <v>166</v>
      </c>
      <c r="C53" s="12">
        <v>29</v>
      </c>
      <c r="D53" s="8">
        <v>2.71</v>
      </c>
      <c r="E53" s="12">
        <v>23</v>
      </c>
      <c r="F53" s="8">
        <v>3.9</v>
      </c>
      <c r="G53" s="12">
        <v>6</v>
      </c>
      <c r="H53" s="8">
        <v>1.27</v>
      </c>
      <c r="I53" s="12">
        <v>0</v>
      </c>
    </row>
    <row r="54" spans="2:9" ht="15" customHeight="1" x14ac:dyDescent="0.2">
      <c r="B54" t="s">
        <v>177</v>
      </c>
      <c r="C54" s="12">
        <v>28</v>
      </c>
      <c r="D54" s="8">
        <v>2.62</v>
      </c>
      <c r="E54" s="12">
        <v>21</v>
      </c>
      <c r="F54" s="8">
        <v>3.56</v>
      </c>
      <c r="G54" s="12">
        <v>7</v>
      </c>
      <c r="H54" s="8">
        <v>1.48</v>
      </c>
      <c r="I54" s="12">
        <v>0</v>
      </c>
    </row>
    <row r="55" spans="2:9" ht="15" customHeight="1" x14ac:dyDescent="0.2">
      <c r="B55" t="s">
        <v>162</v>
      </c>
      <c r="C55" s="12">
        <v>23</v>
      </c>
      <c r="D55" s="8">
        <v>2.15</v>
      </c>
      <c r="E55" s="12">
        <v>4</v>
      </c>
      <c r="F55" s="8">
        <v>0.68</v>
      </c>
      <c r="G55" s="12">
        <v>19</v>
      </c>
      <c r="H55" s="8">
        <v>4.01</v>
      </c>
      <c r="I55" s="12">
        <v>0</v>
      </c>
    </row>
    <row r="56" spans="2:9" ht="15" customHeight="1" x14ac:dyDescent="0.2">
      <c r="B56" t="s">
        <v>167</v>
      </c>
      <c r="C56" s="12">
        <v>23</v>
      </c>
      <c r="D56" s="8">
        <v>2.15</v>
      </c>
      <c r="E56" s="12">
        <v>20</v>
      </c>
      <c r="F56" s="8">
        <v>3.39</v>
      </c>
      <c r="G56" s="12">
        <v>3</v>
      </c>
      <c r="H56" s="8">
        <v>0.63</v>
      </c>
      <c r="I56" s="12">
        <v>0</v>
      </c>
    </row>
    <row r="57" spans="2:9" ht="15" customHeight="1" x14ac:dyDescent="0.2">
      <c r="B57" t="s">
        <v>158</v>
      </c>
      <c r="C57" s="12">
        <v>22</v>
      </c>
      <c r="D57" s="8">
        <v>2.06</v>
      </c>
      <c r="E57" s="12">
        <v>15</v>
      </c>
      <c r="F57" s="8">
        <v>2.54</v>
      </c>
      <c r="G57" s="12">
        <v>7</v>
      </c>
      <c r="H57" s="8">
        <v>1.48</v>
      </c>
      <c r="I57" s="12">
        <v>0</v>
      </c>
    </row>
    <row r="58" spans="2:9" ht="15" customHeight="1" x14ac:dyDescent="0.2">
      <c r="B58" t="s">
        <v>157</v>
      </c>
      <c r="C58" s="12">
        <v>21</v>
      </c>
      <c r="D58" s="8">
        <v>1.96</v>
      </c>
      <c r="E58" s="12">
        <v>6</v>
      </c>
      <c r="F58" s="8">
        <v>1.02</v>
      </c>
      <c r="G58" s="12">
        <v>15</v>
      </c>
      <c r="H58" s="8">
        <v>3.16</v>
      </c>
      <c r="I58" s="12">
        <v>0</v>
      </c>
    </row>
    <row r="59" spans="2:9" ht="15" customHeight="1" x14ac:dyDescent="0.2">
      <c r="B59" t="s">
        <v>159</v>
      </c>
      <c r="C59" s="12">
        <v>21</v>
      </c>
      <c r="D59" s="8">
        <v>1.96</v>
      </c>
      <c r="E59" s="12">
        <v>14</v>
      </c>
      <c r="F59" s="8">
        <v>2.37</v>
      </c>
      <c r="G59" s="12">
        <v>7</v>
      </c>
      <c r="H59" s="8">
        <v>1.48</v>
      </c>
      <c r="I59" s="12">
        <v>0</v>
      </c>
    </row>
    <row r="60" spans="2:9" ht="15" customHeight="1" x14ac:dyDescent="0.2">
      <c r="B60" t="s">
        <v>160</v>
      </c>
      <c r="C60" s="12">
        <v>21</v>
      </c>
      <c r="D60" s="8">
        <v>1.96</v>
      </c>
      <c r="E60" s="12">
        <v>9</v>
      </c>
      <c r="F60" s="8">
        <v>1.53</v>
      </c>
      <c r="G60" s="12">
        <v>12</v>
      </c>
      <c r="H60" s="8">
        <v>2.5299999999999998</v>
      </c>
      <c r="I60" s="12">
        <v>0</v>
      </c>
    </row>
    <row r="61" spans="2:9" ht="15" customHeight="1" x14ac:dyDescent="0.2">
      <c r="B61" t="s">
        <v>155</v>
      </c>
      <c r="C61" s="12">
        <v>20</v>
      </c>
      <c r="D61" s="8">
        <v>1.87</v>
      </c>
      <c r="E61" s="12">
        <v>2</v>
      </c>
      <c r="F61" s="8">
        <v>0.34</v>
      </c>
      <c r="G61" s="12">
        <v>18</v>
      </c>
      <c r="H61" s="8">
        <v>3.8</v>
      </c>
      <c r="I61" s="12">
        <v>0</v>
      </c>
    </row>
    <row r="62" spans="2:9" ht="15" customHeight="1" x14ac:dyDescent="0.2">
      <c r="B62" t="s">
        <v>179</v>
      </c>
      <c r="C62" s="12">
        <v>20</v>
      </c>
      <c r="D62" s="8">
        <v>1.87</v>
      </c>
      <c r="E62" s="12">
        <v>20</v>
      </c>
      <c r="F62" s="8">
        <v>3.39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173</v>
      </c>
      <c r="C63" s="12">
        <v>20</v>
      </c>
      <c r="D63" s="8">
        <v>1.87</v>
      </c>
      <c r="E63" s="12">
        <v>17</v>
      </c>
      <c r="F63" s="8">
        <v>2.88</v>
      </c>
      <c r="G63" s="12">
        <v>3</v>
      </c>
      <c r="H63" s="8">
        <v>0.63</v>
      </c>
      <c r="I63" s="12">
        <v>0</v>
      </c>
    </row>
    <row r="64" spans="2:9" ht="15" customHeight="1" x14ac:dyDescent="0.2">
      <c r="B64" t="s">
        <v>156</v>
      </c>
      <c r="C64" s="12">
        <v>17</v>
      </c>
      <c r="D64" s="8">
        <v>1.59</v>
      </c>
      <c r="E64" s="12">
        <v>8</v>
      </c>
      <c r="F64" s="8">
        <v>1.36</v>
      </c>
      <c r="G64" s="12">
        <v>9</v>
      </c>
      <c r="H64" s="8">
        <v>1.9</v>
      </c>
      <c r="I64" s="12">
        <v>0</v>
      </c>
    </row>
    <row r="65" spans="2:9" ht="15" customHeight="1" x14ac:dyDescent="0.2">
      <c r="B65" t="s">
        <v>174</v>
      </c>
      <c r="C65" s="12">
        <v>17</v>
      </c>
      <c r="D65" s="8">
        <v>1.59</v>
      </c>
      <c r="E65" s="12">
        <v>10</v>
      </c>
      <c r="F65" s="8">
        <v>1.69</v>
      </c>
      <c r="G65" s="12">
        <v>7</v>
      </c>
      <c r="H65" s="8">
        <v>1.48</v>
      </c>
      <c r="I65" s="12">
        <v>0</v>
      </c>
    </row>
    <row r="66" spans="2:9" ht="15" customHeight="1" x14ac:dyDescent="0.2">
      <c r="B66" t="s">
        <v>163</v>
      </c>
      <c r="C66" s="12">
        <v>17</v>
      </c>
      <c r="D66" s="8">
        <v>1.59</v>
      </c>
      <c r="E66" s="12">
        <v>3</v>
      </c>
      <c r="F66" s="8">
        <v>0.51</v>
      </c>
      <c r="G66" s="12">
        <v>14</v>
      </c>
      <c r="H66" s="8">
        <v>2.95</v>
      </c>
      <c r="I66" s="12">
        <v>0</v>
      </c>
    </row>
    <row r="68" spans="2:9" ht="15" customHeight="1" x14ac:dyDescent="0.2">
      <c r="B68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CC679-7FD2-4FA7-A884-8C9F852F4261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325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1</v>
      </c>
      <c r="D5" s="8">
        <v>0.15</v>
      </c>
      <c r="E5" s="12">
        <v>1</v>
      </c>
      <c r="F5" s="8">
        <v>0.23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105</v>
      </c>
      <c r="D6" s="8">
        <v>15.72</v>
      </c>
      <c r="E6" s="12">
        <v>46</v>
      </c>
      <c r="F6" s="8">
        <v>10.5</v>
      </c>
      <c r="G6" s="12">
        <v>59</v>
      </c>
      <c r="H6" s="8">
        <v>26.7</v>
      </c>
      <c r="I6" s="12">
        <v>0</v>
      </c>
    </row>
    <row r="7" spans="2:9" ht="15" customHeight="1" x14ac:dyDescent="0.2">
      <c r="B7" t="s">
        <v>77</v>
      </c>
      <c r="C7" s="12">
        <v>69</v>
      </c>
      <c r="D7" s="8">
        <v>10.33</v>
      </c>
      <c r="E7" s="12">
        <v>43</v>
      </c>
      <c r="F7" s="8">
        <v>9.82</v>
      </c>
      <c r="G7" s="12">
        <v>26</v>
      </c>
      <c r="H7" s="8">
        <v>11.76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2</v>
      </c>
      <c r="D9" s="8">
        <v>0.3</v>
      </c>
      <c r="E9" s="12">
        <v>0</v>
      </c>
      <c r="F9" s="8">
        <v>0</v>
      </c>
      <c r="G9" s="12">
        <v>2</v>
      </c>
      <c r="H9" s="8">
        <v>0.9</v>
      </c>
      <c r="I9" s="12">
        <v>0</v>
      </c>
    </row>
    <row r="10" spans="2:9" ht="15" customHeight="1" x14ac:dyDescent="0.2">
      <c r="B10" t="s">
        <v>80</v>
      </c>
      <c r="C10" s="12">
        <v>7</v>
      </c>
      <c r="D10" s="8">
        <v>1.05</v>
      </c>
      <c r="E10" s="12">
        <v>2</v>
      </c>
      <c r="F10" s="8">
        <v>0.46</v>
      </c>
      <c r="G10" s="12">
        <v>5</v>
      </c>
      <c r="H10" s="8">
        <v>2.2599999999999998</v>
      </c>
      <c r="I10" s="12">
        <v>0</v>
      </c>
    </row>
    <row r="11" spans="2:9" ht="15" customHeight="1" x14ac:dyDescent="0.2">
      <c r="B11" t="s">
        <v>81</v>
      </c>
      <c r="C11" s="12">
        <v>199</v>
      </c>
      <c r="D11" s="8">
        <v>29.79</v>
      </c>
      <c r="E11" s="12">
        <v>135</v>
      </c>
      <c r="F11" s="8">
        <v>30.82</v>
      </c>
      <c r="G11" s="12">
        <v>64</v>
      </c>
      <c r="H11" s="8">
        <v>28.96</v>
      </c>
      <c r="I11" s="12">
        <v>0</v>
      </c>
    </row>
    <row r="12" spans="2:9" ht="15" customHeight="1" x14ac:dyDescent="0.2">
      <c r="B12" t="s">
        <v>82</v>
      </c>
      <c r="C12" s="12">
        <v>4</v>
      </c>
      <c r="D12" s="8">
        <v>0.6</v>
      </c>
      <c r="E12" s="12">
        <v>2</v>
      </c>
      <c r="F12" s="8">
        <v>0.46</v>
      </c>
      <c r="G12" s="12">
        <v>2</v>
      </c>
      <c r="H12" s="8">
        <v>0.9</v>
      </c>
      <c r="I12" s="12">
        <v>0</v>
      </c>
    </row>
    <row r="13" spans="2:9" ht="15" customHeight="1" x14ac:dyDescent="0.2">
      <c r="B13" t="s">
        <v>83</v>
      </c>
      <c r="C13" s="12">
        <v>30</v>
      </c>
      <c r="D13" s="8">
        <v>4.49</v>
      </c>
      <c r="E13" s="12">
        <v>8</v>
      </c>
      <c r="F13" s="8">
        <v>1.83</v>
      </c>
      <c r="G13" s="12">
        <v>22</v>
      </c>
      <c r="H13" s="8">
        <v>9.9499999999999993</v>
      </c>
      <c r="I13" s="12">
        <v>0</v>
      </c>
    </row>
    <row r="14" spans="2:9" ht="15" customHeight="1" x14ac:dyDescent="0.2">
      <c r="B14" t="s">
        <v>84</v>
      </c>
      <c r="C14" s="12">
        <v>26</v>
      </c>
      <c r="D14" s="8">
        <v>3.89</v>
      </c>
      <c r="E14" s="12">
        <v>18</v>
      </c>
      <c r="F14" s="8">
        <v>4.1100000000000003</v>
      </c>
      <c r="G14" s="12">
        <v>6</v>
      </c>
      <c r="H14" s="8">
        <v>2.71</v>
      </c>
      <c r="I14" s="12">
        <v>0</v>
      </c>
    </row>
    <row r="15" spans="2:9" ht="15" customHeight="1" x14ac:dyDescent="0.2">
      <c r="B15" t="s">
        <v>85</v>
      </c>
      <c r="C15" s="12">
        <v>94</v>
      </c>
      <c r="D15" s="8">
        <v>14.07</v>
      </c>
      <c r="E15" s="12">
        <v>84</v>
      </c>
      <c r="F15" s="8">
        <v>19.18</v>
      </c>
      <c r="G15" s="12">
        <v>9</v>
      </c>
      <c r="H15" s="8">
        <v>4.07</v>
      </c>
      <c r="I15" s="12">
        <v>1</v>
      </c>
    </row>
    <row r="16" spans="2:9" ht="15" customHeight="1" x14ac:dyDescent="0.2">
      <c r="B16" t="s">
        <v>86</v>
      </c>
      <c r="C16" s="12">
        <v>74</v>
      </c>
      <c r="D16" s="8">
        <v>11.08</v>
      </c>
      <c r="E16" s="12">
        <v>61</v>
      </c>
      <c r="F16" s="8">
        <v>13.93</v>
      </c>
      <c r="G16" s="12">
        <v>13</v>
      </c>
      <c r="H16" s="8">
        <v>5.88</v>
      </c>
      <c r="I16" s="12">
        <v>0</v>
      </c>
    </row>
    <row r="17" spans="2:9" ht="15" customHeight="1" x14ac:dyDescent="0.2">
      <c r="B17" t="s">
        <v>87</v>
      </c>
      <c r="C17" s="12">
        <v>18</v>
      </c>
      <c r="D17" s="8">
        <v>2.69</v>
      </c>
      <c r="E17" s="12">
        <v>12</v>
      </c>
      <c r="F17" s="8">
        <v>2.74</v>
      </c>
      <c r="G17" s="12">
        <v>1</v>
      </c>
      <c r="H17" s="8">
        <v>0.45</v>
      </c>
      <c r="I17" s="12">
        <v>1</v>
      </c>
    </row>
    <row r="18" spans="2:9" ht="15" customHeight="1" x14ac:dyDescent="0.2">
      <c r="B18" t="s">
        <v>88</v>
      </c>
      <c r="C18" s="12">
        <v>17</v>
      </c>
      <c r="D18" s="8">
        <v>2.54</v>
      </c>
      <c r="E18" s="12">
        <v>12</v>
      </c>
      <c r="F18" s="8">
        <v>2.74</v>
      </c>
      <c r="G18" s="12">
        <v>5</v>
      </c>
      <c r="H18" s="8">
        <v>2.2599999999999998</v>
      </c>
      <c r="I18" s="12">
        <v>0</v>
      </c>
    </row>
    <row r="19" spans="2:9" ht="15" customHeight="1" x14ac:dyDescent="0.2">
      <c r="B19" t="s">
        <v>89</v>
      </c>
      <c r="C19" s="12">
        <v>22</v>
      </c>
      <c r="D19" s="8">
        <v>3.29</v>
      </c>
      <c r="E19" s="12">
        <v>14</v>
      </c>
      <c r="F19" s="8">
        <v>3.2</v>
      </c>
      <c r="G19" s="12">
        <v>7</v>
      </c>
      <c r="H19" s="8">
        <v>3.17</v>
      </c>
      <c r="I19" s="12">
        <v>1</v>
      </c>
    </row>
    <row r="20" spans="2:9" ht="15" customHeight="1" x14ac:dyDescent="0.2">
      <c r="B20" s="9" t="s">
        <v>285</v>
      </c>
      <c r="C20" s="12">
        <f>SUM(LTBL_40225[総数／事業所数])</f>
        <v>668</v>
      </c>
      <c r="E20" s="12">
        <f>SUBTOTAL(109,LTBL_40225[個人／事業所数])</f>
        <v>438</v>
      </c>
      <c r="G20" s="12">
        <f>SUBTOTAL(109,LTBL_40225[法人／事業所数])</f>
        <v>221</v>
      </c>
      <c r="I20" s="12">
        <f>SUBTOTAL(109,LTBL_40225[法人以外の団体／事業所数])</f>
        <v>3</v>
      </c>
    </row>
    <row r="21" spans="2:9" ht="15" customHeight="1" x14ac:dyDescent="0.2">
      <c r="E21" s="11">
        <f>LTBL_40225[[#Totals],[個人／事業所数]]/LTBL_40225[[#Totals],[総数／事業所数]]</f>
        <v>0.65568862275449102</v>
      </c>
      <c r="G21" s="11">
        <f>LTBL_40225[[#Totals],[法人／事業所数]]/LTBL_40225[[#Totals],[総数／事業所数]]</f>
        <v>0.33083832335329344</v>
      </c>
      <c r="I21" s="11">
        <f>LTBL_40225[[#Totals],[法人以外の団体／事業所数]]/LTBL_40225[[#Totals],[総数／事業所数]]</f>
        <v>4.4910179640718561E-3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112</v>
      </c>
      <c r="C24" s="12">
        <v>87</v>
      </c>
      <c r="D24" s="8">
        <v>13.02</v>
      </c>
      <c r="E24" s="12">
        <v>80</v>
      </c>
      <c r="F24" s="8">
        <v>18.260000000000002</v>
      </c>
      <c r="G24" s="12">
        <v>6</v>
      </c>
      <c r="H24" s="8">
        <v>2.71</v>
      </c>
      <c r="I24" s="12">
        <v>1</v>
      </c>
    </row>
    <row r="25" spans="2:9" ht="15" customHeight="1" x14ac:dyDescent="0.2">
      <c r="B25" t="s">
        <v>107</v>
      </c>
      <c r="C25" s="12">
        <v>71</v>
      </c>
      <c r="D25" s="8">
        <v>10.63</v>
      </c>
      <c r="E25" s="12">
        <v>43</v>
      </c>
      <c r="F25" s="8">
        <v>9.82</v>
      </c>
      <c r="G25" s="12">
        <v>28</v>
      </c>
      <c r="H25" s="8">
        <v>12.67</v>
      </c>
      <c r="I25" s="12">
        <v>0</v>
      </c>
    </row>
    <row r="26" spans="2:9" ht="15" customHeight="1" x14ac:dyDescent="0.2">
      <c r="B26" t="s">
        <v>113</v>
      </c>
      <c r="C26" s="12">
        <v>65</v>
      </c>
      <c r="D26" s="8">
        <v>9.73</v>
      </c>
      <c r="E26" s="12">
        <v>58</v>
      </c>
      <c r="F26" s="8">
        <v>13.24</v>
      </c>
      <c r="G26" s="12">
        <v>7</v>
      </c>
      <c r="H26" s="8">
        <v>3.17</v>
      </c>
      <c r="I26" s="12">
        <v>0</v>
      </c>
    </row>
    <row r="27" spans="2:9" ht="15" customHeight="1" x14ac:dyDescent="0.2">
      <c r="B27" t="s">
        <v>98</v>
      </c>
      <c r="C27" s="12">
        <v>56</v>
      </c>
      <c r="D27" s="8">
        <v>8.3800000000000008</v>
      </c>
      <c r="E27" s="12">
        <v>18</v>
      </c>
      <c r="F27" s="8">
        <v>4.1100000000000003</v>
      </c>
      <c r="G27" s="12">
        <v>38</v>
      </c>
      <c r="H27" s="8">
        <v>17.190000000000001</v>
      </c>
      <c r="I27" s="12">
        <v>0</v>
      </c>
    </row>
    <row r="28" spans="2:9" ht="15" customHeight="1" x14ac:dyDescent="0.2">
      <c r="B28" t="s">
        <v>105</v>
      </c>
      <c r="C28" s="12">
        <v>45</v>
      </c>
      <c r="D28" s="8">
        <v>6.74</v>
      </c>
      <c r="E28" s="12">
        <v>40</v>
      </c>
      <c r="F28" s="8">
        <v>9.1300000000000008</v>
      </c>
      <c r="G28" s="12">
        <v>5</v>
      </c>
      <c r="H28" s="8">
        <v>2.2599999999999998</v>
      </c>
      <c r="I28" s="12">
        <v>0</v>
      </c>
    </row>
    <row r="29" spans="2:9" ht="15" customHeight="1" x14ac:dyDescent="0.2">
      <c r="B29" t="s">
        <v>99</v>
      </c>
      <c r="C29" s="12">
        <v>33</v>
      </c>
      <c r="D29" s="8">
        <v>4.9400000000000004</v>
      </c>
      <c r="E29" s="12">
        <v>22</v>
      </c>
      <c r="F29" s="8">
        <v>5.0199999999999996</v>
      </c>
      <c r="G29" s="12">
        <v>11</v>
      </c>
      <c r="H29" s="8">
        <v>4.9800000000000004</v>
      </c>
      <c r="I29" s="12">
        <v>0</v>
      </c>
    </row>
    <row r="30" spans="2:9" ht="15" customHeight="1" x14ac:dyDescent="0.2">
      <c r="B30" t="s">
        <v>106</v>
      </c>
      <c r="C30" s="12">
        <v>32</v>
      </c>
      <c r="D30" s="8">
        <v>4.79</v>
      </c>
      <c r="E30" s="12">
        <v>24</v>
      </c>
      <c r="F30" s="8">
        <v>5.48</v>
      </c>
      <c r="G30" s="12">
        <v>8</v>
      </c>
      <c r="H30" s="8">
        <v>3.62</v>
      </c>
      <c r="I30" s="12">
        <v>0</v>
      </c>
    </row>
    <row r="31" spans="2:9" ht="15" customHeight="1" x14ac:dyDescent="0.2">
      <c r="B31" t="s">
        <v>130</v>
      </c>
      <c r="C31" s="12">
        <v>19</v>
      </c>
      <c r="D31" s="8">
        <v>2.84</v>
      </c>
      <c r="E31" s="12">
        <v>10</v>
      </c>
      <c r="F31" s="8">
        <v>2.2799999999999998</v>
      </c>
      <c r="G31" s="12">
        <v>9</v>
      </c>
      <c r="H31" s="8">
        <v>4.07</v>
      </c>
      <c r="I31" s="12">
        <v>0</v>
      </c>
    </row>
    <row r="32" spans="2:9" ht="15" customHeight="1" x14ac:dyDescent="0.2">
      <c r="B32" t="s">
        <v>104</v>
      </c>
      <c r="C32" s="12">
        <v>19</v>
      </c>
      <c r="D32" s="8">
        <v>2.84</v>
      </c>
      <c r="E32" s="12">
        <v>13</v>
      </c>
      <c r="F32" s="8">
        <v>2.97</v>
      </c>
      <c r="G32" s="12">
        <v>6</v>
      </c>
      <c r="H32" s="8">
        <v>2.71</v>
      </c>
      <c r="I32" s="12">
        <v>0</v>
      </c>
    </row>
    <row r="33" spans="2:9" ht="15" customHeight="1" x14ac:dyDescent="0.2">
      <c r="B33" t="s">
        <v>114</v>
      </c>
      <c r="C33" s="12">
        <v>18</v>
      </c>
      <c r="D33" s="8">
        <v>2.69</v>
      </c>
      <c r="E33" s="12">
        <v>12</v>
      </c>
      <c r="F33" s="8">
        <v>2.74</v>
      </c>
      <c r="G33" s="12">
        <v>1</v>
      </c>
      <c r="H33" s="8">
        <v>0.45</v>
      </c>
      <c r="I33" s="12">
        <v>1</v>
      </c>
    </row>
    <row r="34" spans="2:9" ht="15" customHeight="1" x14ac:dyDescent="0.2">
      <c r="B34" t="s">
        <v>100</v>
      </c>
      <c r="C34" s="12">
        <v>16</v>
      </c>
      <c r="D34" s="8">
        <v>2.4</v>
      </c>
      <c r="E34" s="12">
        <v>6</v>
      </c>
      <c r="F34" s="8">
        <v>1.37</v>
      </c>
      <c r="G34" s="12">
        <v>10</v>
      </c>
      <c r="H34" s="8">
        <v>4.5199999999999996</v>
      </c>
      <c r="I34" s="12">
        <v>0</v>
      </c>
    </row>
    <row r="35" spans="2:9" ht="15" customHeight="1" x14ac:dyDescent="0.2">
      <c r="B35" t="s">
        <v>123</v>
      </c>
      <c r="C35" s="12">
        <v>16</v>
      </c>
      <c r="D35" s="8">
        <v>2.4</v>
      </c>
      <c r="E35" s="12">
        <v>14</v>
      </c>
      <c r="F35" s="8">
        <v>3.2</v>
      </c>
      <c r="G35" s="12">
        <v>2</v>
      </c>
      <c r="H35" s="8">
        <v>0.9</v>
      </c>
      <c r="I35" s="12">
        <v>0</v>
      </c>
    </row>
    <row r="36" spans="2:9" ht="15" customHeight="1" x14ac:dyDescent="0.2">
      <c r="B36" t="s">
        <v>110</v>
      </c>
      <c r="C36" s="12">
        <v>15</v>
      </c>
      <c r="D36" s="8">
        <v>2.25</v>
      </c>
      <c r="E36" s="12">
        <v>11</v>
      </c>
      <c r="F36" s="8">
        <v>2.5099999999999998</v>
      </c>
      <c r="G36" s="12">
        <v>4</v>
      </c>
      <c r="H36" s="8">
        <v>1.81</v>
      </c>
      <c r="I36" s="12">
        <v>0</v>
      </c>
    </row>
    <row r="37" spans="2:9" ht="15" customHeight="1" x14ac:dyDescent="0.2">
      <c r="B37" t="s">
        <v>115</v>
      </c>
      <c r="C37" s="12">
        <v>15</v>
      </c>
      <c r="D37" s="8">
        <v>2.25</v>
      </c>
      <c r="E37" s="12">
        <v>12</v>
      </c>
      <c r="F37" s="8">
        <v>2.74</v>
      </c>
      <c r="G37" s="12">
        <v>3</v>
      </c>
      <c r="H37" s="8">
        <v>1.36</v>
      </c>
      <c r="I37" s="12">
        <v>0</v>
      </c>
    </row>
    <row r="38" spans="2:9" ht="15" customHeight="1" x14ac:dyDescent="0.2">
      <c r="B38" t="s">
        <v>109</v>
      </c>
      <c r="C38" s="12">
        <v>14</v>
      </c>
      <c r="D38" s="8">
        <v>2.1</v>
      </c>
      <c r="E38" s="12">
        <v>3</v>
      </c>
      <c r="F38" s="8">
        <v>0.68</v>
      </c>
      <c r="G38" s="12">
        <v>11</v>
      </c>
      <c r="H38" s="8">
        <v>4.9800000000000004</v>
      </c>
      <c r="I38" s="12">
        <v>0</v>
      </c>
    </row>
    <row r="39" spans="2:9" ht="15" customHeight="1" x14ac:dyDescent="0.2">
      <c r="B39" t="s">
        <v>135</v>
      </c>
      <c r="C39" s="12">
        <v>12</v>
      </c>
      <c r="D39" s="8">
        <v>1.8</v>
      </c>
      <c r="E39" s="12">
        <v>8</v>
      </c>
      <c r="F39" s="8">
        <v>1.83</v>
      </c>
      <c r="G39" s="12">
        <v>4</v>
      </c>
      <c r="H39" s="8">
        <v>1.81</v>
      </c>
      <c r="I39" s="12">
        <v>0</v>
      </c>
    </row>
    <row r="40" spans="2:9" ht="15" customHeight="1" x14ac:dyDescent="0.2">
      <c r="B40" t="s">
        <v>108</v>
      </c>
      <c r="C40" s="12">
        <v>12</v>
      </c>
      <c r="D40" s="8">
        <v>1.8</v>
      </c>
      <c r="E40" s="12">
        <v>4</v>
      </c>
      <c r="F40" s="8">
        <v>0.91</v>
      </c>
      <c r="G40" s="12">
        <v>8</v>
      </c>
      <c r="H40" s="8">
        <v>3.62</v>
      </c>
      <c r="I40" s="12">
        <v>0</v>
      </c>
    </row>
    <row r="41" spans="2:9" ht="15" customHeight="1" x14ac:dyDescent="0.2">
      <c r="B41" t="s">
        <v>111</v>
      </c>
      <c r="C41" s="12">
        <v>11</v>
      </c>
      <c r="D41" s="8">
        <v>1.65</v>
      </c>
      <c r="E41" s="12">
        <v>7</v>
      </c>
      <c r="F41" s="8">
        <v>1.6</v>
      </c>
      <c r="G41" s="12">
        <v>2</v>
      </c>
      <c r="H41" s="8">
        <v>0.9</v>
      </c>
      <c r="I41" s="12">
        <v>0</v>
      </c>
    </row>
    <row r="42" spans="2:9" ht="15" customHeight="1" x14ac:dyDescent="0.2">
      <c r="B42" t="s">
        <v>103</v>
      </c>
      <c r="C42" s="12">
        <v>9</v>
      </c>
      <c r="D42" s="8">
        <v>1.35</v>
      </c>
      <c r="E42" s="12">
        <v>5</v>
      </c>
      <c r="F42" s="8">
        <v>1.1399999999999999</v>
      </c>
      <c r="G42" s="12">
        <v>4</v>
      </c>
      <c r="H42" s="8">
        <v>1.81</v>
      </c>
      <c r="I42" s="12">
        <v>0</v>
      </c>
    </row>
    <row r="43" spans="2:9" ht="15" customHeight="1" x14ac:dyDescent="0.2">
      <c r="B43" t="s">
        <v>131</v>
      </c>
      <c r="C43" s="12">
        <v>7</v>
      </c>
      <c r="D43" s="8">
        <v>1.05</v>
      </c>
      <c r="E43" s="12">
        <v>6</v>
      </c>
      <c r="F43" s="8">
        <v>1.37</v>
      </c>
      <c r="G43" s="12">
        <v>1</v>
      </c>
      <c r="H43" s="8">
        <v>0.45</v>
      </c>
      <c r="I43" s="12">
        <v>0</v>
      </c>
    </row>
    <row r="44" spans="2:9" ht="15" customHeight="1" x14ac:dyDescent="0.2">
      <c r="B44" t="s">
        <v>136</v>
      </c>
      <c r="C44" s="12">
        <v>7</v>
      </c>
      <c r="D44" s="8">
        <v>1.05</v>
      </c>
      <c r="E44" s="12">
        <v>7</v>
      </c>
      <c r="F44" s="8">
        <v>1.6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119</v>
      </c>
      <c r="C45" s="12">
        <v>7</v>
      </c>
      <c r="D45" s="8">
        <v>1.05</v>
      </c>
      <c r="E45" s="12">
        <v>6</v>
      </c>
      <c r="F45" s="8">
        <v>1.37</v>
      </c>
      <c r="G45" s="12">
        <v>1</v>
      </c>
      <c r="H45" s="8">
        <v>0.45</v>
      </c>
      <c r="I45" s="12">
        <v>0</v>
      </c>
    </row>
    <row r="46" spans="2:9" ht="15" customHeight="1" x14ac:dyDescent="0.2">
      <c r="B46" t="s">
        <v>101</v>
      </c>
      <c r="C46" s="12">
        <v>7</v>
      </c>
      <c r="D46" s="8">
        <v>1.05</v>
      </c>
      <c r="E46" s="12">
        <v>4</v>
      </c>
      <c r="F46" s="8">
        <v>0.91</v>
      </c>
      <c r="G46" s="12">
        <v>3</v>
      </c>
      <c r="H46" s="8">
        <v>1.36</v>
      </c>
      <c r="I46" s="12">
        <v>0</v>
      </c>
    </row>
    <row r="47" spans="2:9" ht="15" customHeight="1" x14ac:dyDescent="0.2">
      <c r="B47" t="s">
        <v>102</v>
      </c>
      <c r="C47" s="12">
        <v>7</v>
      </c>
      <c r="D47" s="8">
        <v>1.05</v>
      </c>
      <c r="E47" s="12">
        <v>3</v>
      </c>
      <c r="F47" s="8">
        <v>0.68</v>
      </c>
      <c r="G47" s="12">
        <v>4</v>
      </c>
      <c r="H47" s="8">
        <v>1.81</v>
      </c>
      <c r="I47" s="12">
        <v>0</v>
      </c>
    </row>
    <row r="50" spans="2:9" ht="33" customHeight="1" x14ac:dyDescent="0.2">
      <c r="B50" t="s">
        <v>287</v>
      </c>
      <c r="C50" s="10" t="s">
        <v>91</v>
      </c>
      <c r="D50" s="10" t="s">
        <v>92</v>
      </c>
      <c r="E50" s="10" t="s">
        <v>93</v>
      </c>
      <c r="F50" s="10" t="s">
        <v>94</v>
      </c>
      <c r="G50" s="10" t="s">
        <v>95</v>
      </c>
      <c r="H50" s="10" t="s">
        <v>96</v>
      </c>
      <c r="I50" s="10" t="s">
        <v>97</v>
      </c>
    </row>
    <row r="51" spans="2:9" ht="15" customHeight="1" x14ac:dyDescent="0.2">
      <c r="B51" t="s">
        <v>170</v>
      </c>
      <c r="C51" s="12">
        <v>31</v>
      </c>
      <c r="D51" s="8">
        <v>4.6399999999999997</v>
      </c>
      <c r="E51" s="12">
        <v>31</v>
      </c>
      <c r="F51" s="8">
        <v>7.08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167</v>
      </c>
      <c r="C52" s="12">
        <v>28</v>
      </c>
      <c r="D52" s="8">
        <v>4.1900000000000004</v>
      </c>
      <c r="E52" s="12">
        <v>28</v>
      </c>
      <c r="F52" s="8">
        <v>6.39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166</v>
      </c>
      <c r="C53" s="12">
        <v>26</v>
      </c>
      <c r="D53" s="8">
        <v>3.89</v>
      </c>
      <c r="E53" s="12">
        <v>24</v>
      </c>
      <c r="F53" s="8">
        <v>5.48</v>
      </c>
      <c r="G53" s="12">
        <v>2</v>
      </c>
      <c r="H53" s="8">
        <v>0.9</v>
      </c>
      <c r="I53" s="12">
        <v>0</v>
      </c>
    </row>
    <row r="54" spans="2:9" ht="15" customHeight="1" x14ac:dyDescent="0.2">
      <c r="B54" t="s">
        <v>159</v>
      </c>
      <c r="C54" s="12">
        <v>23</v>
      </c>
      <c r="D54" s="8">
        <v>3.44</v>
      </c>
      <c r="E54" s="12">
        <v>16</v>
      </c>
      <c r="F54" s="8">
        <v>3.65</v>
      </c>
      <c r="G54" s="12">
        <v>7</v>
      </c>
      <c r="H54" s="8">
        <v>3.17</v>
      </c>
      <c r="I54" s="12">
        <v>0</v>
      </c>
    </row>
    <row r="55" spans="2:9" ht="15" customHeight="1" x14ac:dyDescent="0.2">
      <c r="B55" t="s">
        <v>154</v>
      </c>
      <c r="C55" s="12">
        <v>21</v>
      </c>
      <c r="D55" s="8">
        <v>3.14</v>
      </c>
      <c r="E55" s="12">
        <v>2</v>
      </c>
      <c r="F55" s="8">
        <v>0.46</v>
      </c>
      <c r="G55" s="12">
        <v>19</v>
      </c>
      <c r="H55" s="8">
        <v>8.6</v>
      </c>
      <c r="I55" s="12">
        <v>0</v>
      </c>
    </row>
    <row r="56" spans="2:9" ht="15" customHeight="1" x14ac:dyDescent="0.2">
      <c r="B56" t="s">
        <v>169</v>
      </c>
      <c r="C56" s="12">
        <v>21</v>
      </c>
      <c r="D56" s="8">
        <v>3.14</v>
      </c>
      <c r="E56" s="12">
        <v>21</v>
      </c>
      <c r="F56" s="8">
        <v>4.79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160</v>
      </c>
      <c r="C57" s="12">
        <v>20</v>
      </c>
      <c r="D57" s="8">
        <v>2.99</v>
      </c>
      <c r="E57" s="12">
        <v>4</v>
      </c>
      <c r="F57" s="8">
        <v>0.91</v>
      </c>
      <c r="G57" s="12">
        <v>16</v>
      </c>
      <c r="H57" s="8">
        <v>7.24</v>
      </c>
      <c r="I57" s="12">
        <v>0</v>
      </c>
    </row>
    <row r="58" spans="2:9" ht="15" customHeight="1" x14ac:dyDescent="0.2">
      <c r="B58" t="s">
        <v>161</v>
      </c>
      <c r="C58" s="12">
        <v>20</v>
      </c>
      <c r="D58" s="8">
        <v>2.99</v>
      </c>
      <c r="E58" s="12">
        <v>16</v>
      </c>
      <c r="F58" s="8">
        <v>3.65</v>
      </c>
      <c r="G58" s="12">
        <v>4</v>
      </c>
      <c r="H58" s="8">
        <v>1.81</v>
      </c>
      <c r="I58" s="12">
        <v>0</v>
      </c>
    </row>
    <row r="59" spans="2:9" ht="15" customHeight="1" x14ac:dyDescent="0.2">
      <c r="B59" t="s">
        <v>186</v>
      </c>
      <c r="C59" s="12">
        <v>18</v>
      </c>
      <c r="D59" s="8">
        <v>2.69</v>
      </c>
      <c r="E59" s="12">
        <v>9</v>
      </c>
      <c r="F59" s="8">
        <v>2.0499999999999998</v>
      </c>
      <c r="G59" s="12">
        <v>9</v>
      </c>
      <c r="H59" s="8">
        <v>4.07</v>
      </c>
      <c r="I59" s="12">
        <v>0</v>
      </c>
    </row>
    <row r="60" spans="2:9" ht="15" customHeight="1" x14ac:dyDescent="0.2">
      <c r="B60" t="s">
        <v>173</v>
      </c>
      <c r="C60" s="12">
        <v>16</v>
      </c>
      <c r="D60" s="8">
        <v>2.4</v>
      </c>
      <c r="E60" s="12">
        <v>14</v>
      </c>
      <c r="F60" s="8">
        <v>3.2</v>
      </c>
      <c r="G60" s="12">
        <v>2</v>
      </c>
      <c r="H60" s="8">
        <v>0.9</v>
      </c>
      <c r="I60" s="12">
        <v>0</v>
      </c>
    </row>
    <row r="61" spans="2:9" ht="15" customHeight="1" x14ac:dyDescent="0.2">
      <c r="B61" t="s">
        <v>158</v>
      </c>
      <c r="C61" s="12">
        <v>14</v>
      </c>
      <c r="D61" s="8">
        <v>2.1</v>
      </c>
      <c r="E61" s="12">
        <v>12</v>
      </c>
      <c r="F61" s="8">
        <v>2.74</v>
      </c>
      <c r="G61" s="12">
        <v>2</v>
      </c>
      <c r="H61" s="8">
        <v>0.9</v>
      </c>
      <c r="I61" s="12">
        <v>0</v>
      </c>
    </row>
    <row r="62" spans="2:9" ht="15" customHeight="1" x14ac:dyDescent="0.2">
      <c r="B62" t="s">
        <v>155</v>
      </c>
      <c r="C62" s="12">
        <v>12</v>
      </c>
      <c r="D62" s="8">
        <v>1.8</v>
      </c>
      <c r="E62" s="12">
        <v>5</v>
      </c>
      <c r="F62" s="8">
        <v>1.1399999999999999</v>
      </c>
      <c r="G62" s="12">
        <v>7</v>
      </c>
      <c r="H62" s="8">
        <v>3.17</v>
      </c>
      <c r="I62" s="12">
        <v>0</v>
      </c>
    </row>
    <row r="63" spans="2:9" ht="15" customHeight="1" x14ac:dyDescent="0.2">
      <c r="B63" t="s">
        <v>177</v>
      </c>
      <c r="C63" s="12">
        <v>11</v>
      </c>
      <c r="D63" s="8">
        <v>1.65</v>
      </c>
      <c r="E63" s="12">
        <v>10</v>
      </c>
      <c r="F63" s="8">
        <v>2.2799999999999998</v>
      </c>
      <c r="G63" s="12">
        <v>1</v>
      </c>
      <c r="H63" s="8">
        <v>0.45</v>
      </c>
      <c r="I63" s="12">
        <v>0</v>
      </c>
    </row>
    <row r="64" spans="2:9" ht="15" customHeight="1" x14ac:dyDescent="0.2">
      <c r="B64" t="s">
        <v>164</v>
      </c>
      <c r="C64" s="12">
        <v>11</v>
      </c>
      <c r="D64" s="8">
        <v>1.65</v>
      </c>
      <c r="E64" s="12">
        <v>2</v>
      </c>
      <c r="F64" s="8">
        <v>0.46</v>
      </c>
      <c r="G64" s="12">
        <v>9</v>
      </c>
      <c r="H64" s="8">
        <v>4.07</v>
      </c>
      <c r="I64" s="12">
        <v>0</v>
      </c>
    </row>
    <row r="65" spans="2:9" ht="15" customHeight="1" x14ac:dyDescent="0.2">
      <c r="B65" t="s">
        <v>182</v>
      </c>
      <c r="C65" s="12">
        <v>11</v>
      </c>
      <c r="D65" s="8">
        <v>1.65</v>
      </c>
      <c r="E65" s="12">
        <v>5</v>
      </c>
      <c r="F65" s="8">
        <v>1.1399999999999999</v>
      </c>
      <c r="G65" s="12">
        <v>6</v>
      </c>
      <c r="H65" s="8">
        <v>2.71</v>
      </c>
      <c r="I65" s="12">
        <v>0</v>
      </c>
    </row>
    <row r="66" spans="2:9" ht="15" customHeight="1" x14ac:dyDescent="0.2">
      <c r="B66" t="s">
        <v>172</v>
      </c>
      <c r="C66" s="12">
        <v>11</v>
      </c>
      <c r="D66" s="8">
        <v>1.65</v>
      </c>
      <c r="E66" s="12">
        <v>10</v>
      </c>
      <c r="F66" s="8">
        <v>2.2799999999999998</v>
      </c>
      <c r="G66" s="12">
        <v>1</v>
      </c>
      <c r="H66" s="8">
        <v>0.45</v>
      </c>
      <c r="I66" s="12">
        <v>0</v>
      </c>
    </row>
    <row r="67" spans="2:9" ht="15" customHeight="1" x14ac:dyDescent="0.2">
      <c r="B67" t="s">
        <v>179</v>
      </c>
      <c r="C67" s="12">
        <v>10</v>
      </c>
      <c r="D67" s="8">
        <v>1.5</v>
      </c>
      <c r="E67" s="12">
        <v>8</v>
      </c>
      <c r="F67" s="8">
        <v>1.83</v>
      </c>
      <c r="G67" s="12">
        <v>1</v>
      </c>
      <c r="H67" s="8">
        <v>0.45</v>
      </c>
      <c r="I67" s="12">
        <v>1</v>
      </c>
    </row>
    <row r="68" spans="2:9" ht="15" customHeight="1" x14ac:dyDescent="0.2">
      <c r="B68" t="s">
        <v>202</v>
      </c>
      <c r="C68" s="12">
        <v>9</v>
      </c>
      <c r="D68" s="8">
        <v>1.35</v>
      </c>
      <c r="E68" s="12">
        <v>6</v>
      </c>
      <c r="F68" s="8">
        <v>1.37</v>
      </c>
      <c r="G68" s="12">
        <v>3</v>
      </c>
      <c r="H68" s="8">
        <v>1.36</v>
      </c>
      <c r="I68" s="12">
        <v>0</v>
      </c>
    </row>
    <row r="69" spans="2:9" ht="15" customHeight="1" x14ac:dyDescent="0.2">
      <c r="B69" t="s">
        <v>174</v>
      </c>
      <c r="C69" s="12">
        <v>9</v>
      </c>
      <c r="D69" s="8">
        <v>1.35</v>
      </c>
      <c r="E69" s="12">
        <v>3</v>
      </c>
      <c r="F69" s="8">
        <v>0.68</v>
      </c>
      <c r="G69" s="12">
        <v>6</v>
      </c>
      <c r="H69" s="8">
        <v>2.71</v>
      </c>
      <c r="I69" s="12">
        <v>0</v>
      </c>
    </row>
    <row r="70" spans="2:9" ht="15" customHeight="1" x14ac:dyDescent="0.2">
      <c r="B70" t="s">
        <v>223</v>
      </c>
      <c r="C70" s="12">
        <v>9</v>
      </c>
      <c r="D70" s="8">
        <v>1.35</v>
      </c>
      <c r="E70" s="12">
        <v>5</v>
      </c>
      <c r="F70" s="8">
        <v>1.1399999999999999</v>
      </c>
      <c r="G70" s="12">
        <v>4</v>
      </c>
      <c r="H70" s="8">
        <v>1.81</v>
      </c>
      <c r="I70" s="12">
        <v>0</v>
      </c>
    </row>
    <row r="71" spans="2:9" ht="15" customHeight="1" x14ac:dyDescent="0.2">
      <c r="B71" t="s">
        <v>213</v>
      </c>
      <c r="C71" s="12">
        <v>9</v>
      </c>
      <c r="D71" s="8">
        <v>1.35</v>
      </c>
      <c r="E71" s="12">
        <v>7</v>
      </c>
      <c r="F71" s="8">
        <v>1.6</v>
      </c>
      <c r="G71" s="12">
        <v>2</v>
      </c>
      <c r="H71" s="8">
        <v>0.9</v>
      </c>
      <c r="I71" s="12">
        <v>0</v>
      </c>
    </row>
    <row r="72" spans="2:9" ht="15" customHeight="1" x14ac:dyDescent="0.2">
      <c r="B72" t="s">
        <v>157</v>
      </c>
      <c r="C72" s="12">
        <v>9</v>
      </c>
      <c r="D72" s="8">
        <v>1.35</v>
      </c>
      <c r="E72" s="12">
        <v>5</v>
      </c>
      <c r="F72" s="8">
        <v>1.1399999999999999</v>
      </c>
      <c r="G72" s="12">
        <v>4</v>
      </c>
      <c r="H72" s="8">
        <v>1.81</v>
      </c>
      <c r="I72" s="12">
        <v>0</v>
      </c>
    </row>
    <row r="73" spans="2:9" ht="15" customHeight="1" x14ac:dyDescent="0.2">
      <c r="B73" t="s">
        <v>168</v>
      </c>
      <c r="C73" s="12">
        <v>9</v>
      </c>
      <c r="D73" s="8">
        <v>1.35</v>
      </c>
      <c r="E73" s="12">
        <v>9</v>
      </c>
      <c r="F73" s="8">
        <v>2.0499999999999998</v>
      </c>
      <c r="G73" s="12">
        <v>0</v>
      </c>
      <c r="H73" s="8">
        <v>0</v>
      </c>
      <c r="I73" s="12">
        <v>0</v>
      </c>
    </row>
    <row r="75" spans="2:9" ht="15" customHeight="1" x14ac:dyDescent="0.2">
      <c r="B75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E8792-0A4D-4BE8-AEFC-3223389DF55E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326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89</v>
      </c>
      <c r="D6" s="8">
        <v>18.940000000000001</v>
      </c>
      <c r="E6" s="12">
        <v>23</v>
      </c>
      <c r="F6" s="8">
        <v>9.91</v>
      </c>
      <c r="G6" s="12">
        <v>66</v>
      </c>
      <c r="H6" s="8">
        <v>29.2</v>
      </c>
      <c r="I6" s="12">
        <v>0</v>
      </c>
    </row>
    <row r="7" spans="2:9" ht="15" customHeight="1" x14ac:dyDescent="0.2">
      <c r="B7" t="s">
        <v>77</v>
      </c>
      <c r="C7" s="12">
        <v>32</v>
      </c>
      <c r="D7" s="8">
        <v>6.81</v>
      </c>
      <c r="E7" s="12">
        <v>10</v>
      </c>
      <c r="F7" s="8">
        <v>4.3099999999999996</v>
      </c>
      <c r="G7" s="12">
        <v>22</v>
      </c>
      <c r="H7" s="8">
        <v>9.73</v>
      </c>
      <c r="I7" s="12">
        <v>0</v>
      </c>
    </row>
    <row r="8" spans="2:9" ht="15" customHeight="1" x14ac:dyDescent="0.2">
      <c r="B8" t="s">
        <v>78</v>
      </c>
      <c r="C8" s="12">
        <v>2</v>
      </c>
      <c r="D8" s="8">
        <v>0.43</v>
      </c>
      <c r="E8" s="12">
        <v>0</v>
      </c>
      <c r="F8" s="8">
        <v>0</v>
      </c>
      <c r="G8" s="12">
        <v>1</v>
      </c>
      <c r="H8" s="8">
        <v>0.44</v>
      </c>
      <c r="I8" s="12">
        <v>0</v>
      </c>
    </row>
    <row r="9" spans="2:9" ht="15" customHeight="1" x14ac:dyDescent="0.2">
      <c r="B9" t="s">
        <v>79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80</v>
      </c>
      <c r="C10" s="12">
        <v>13</v>
      </c>
      <c r="D10" s="8">
        <v>2.77</v>
      </c>
      <c r="E10" s="12">
        <v>0</v>
      </c>
      <c r="F10" s="8">
        <v>0</v>
      </c>
      <c r="G10" s="12">
        <v>12</v>
      </c>
      <c r="H10" s="8">
        <v>5.31</v>
      </c>
      <c r="I10" s="12">
        <v>1</v>
      </c>
    </row>
    <row r="11" spans="2:9" ht="15" customHeight="1" x14ac:dyDescent="0.2">
      <c r="B11" t="s">
        <v>81</v>
      </c>
      <c r="C11" s="12">
        <v>114</v>
      </c>
      <c r="D11" s="8">
        <v>24.26</v>
      </c>
      <c r="E11" s="12">
        <v>60</v>
      </c>
      <c r="F11" s="8">
        <v>25.86</v>
      </c>
      <c r="G11" s="12">
        <v>54</v>
      </c>
      <c r="H11" s="8">
        <v>23.89</v>
      </c>
      <c r="I11" s="12">
        <v>0</v>
      </c>
    </row>
    <row r="12" spans="2:9" ht="15" customHeight="1" x14ac:dyDescent="0.2">
      <c r="B12" t="s">
        <v>82</v>
      </c>
      <c r="C12" s="12">
        <v>1</v>
      </c>
      <c r="D12" s="8">
        <v>0.21</v>
      </c>
      <c r="E12" s="12">
        <v>0</v>
      </c>
      <c r="F12" s="8">
        <v>0</v>
      </c>
      <c r="G12" s="12">
        <v>1</v>
      </c>
      <c r="H12" s="8">
        <v>0.44</v>
      </c>
      <c r="I12" s="12">
        <v>0</v>
      </c>
    </row>
    <row r="13" spans="2:9" ht="15" customHeight="1" x14ac:dyDescent="0.2">
      <c r="B13" t="s">
        <v>83</v>
      </c>
      <c r="C13" s="12">
        <v>21</v>
      </c>
      <c r="D13" s="8">
        <v>4.47</v>
      </c>
      <c r="E13" s="12">
        <v>5</v>
      </c>
      <c r="F13" s="8">
        <v>2.16</v>
      </c>
      <c r="G13" s="12">
        <v>16</v>
      </c>
      <c r="H13" s="8">
        <v>7.08</v>
      </c>
      <c r="I13" s="12">
        <v>0</v>
      </c>
    </row>
    <row r="14" spans="2:9" ht="15" customHeight="1" x14ac:dyDescent="0.2">
      <c r="B14" t="s">
        <v>84</v>
      </c>
      <c r="C14" s="12">
        <v>16</v>
      </c>
      <c r="D14" s="8">
        <v>3.4</v>
      </c>
      <c r="E14" s="12">
        <v>10</v>
      </c>
      <c r="F14" s="8">
        <v>4.3099999999999996</v>
      </c>
      <c r="G14" s="12">
        <v>5</v>
      </c>
      <c r="H14" s="8">
        <v>2.21</v>
      </c>
      <c r="I14" s="12">
        <v>0</v>
      </c>
    </row>
    <row r="15" spans="2:9" ht="15" customHeight="1" x14ac:dyDescent="0.2">
      <c r="B15" t="s">
        <v>85</v>
      </c>
      <c r="C15" s="12">
        <v>48</v>
      </c>
      <c r="D15" s="8">
        <v>10.210000000000001</v>
      </c>
      <c r="E15" s="12">
        <v>36</v>
      </c>
      <c r="F15" s="8">
        <v>15.52</v>
      </c>
      <c r="G15" s="12">
        <v>12</v>
      </c>
      <c r="H15" s="8">
        <v>5.31</v>
      </c>
      <c r="I15" s="12">
        <v>0</v>
      </c>
    </row>
    <row r="16" spans="2:9" ht="15" customHeight="1" x14ac:dyDescent="0.2">
      <c r="B16" t="s">
        <v>86</v>
      </c>
      <c r="C16" s="12">
        <v>74</v>
      </c>
      <c r="D16" s="8">
        <v>15.74</v>
      </c>
      <c r="E16" s="12">
        <v>59</v>
      </c>
      <c r="F16" s="8">
        <v>25.43</v>
      </c>
      <c r="G16" s="12">
        <v>14</v>
      </c>
      <c r="H16" s="8">
        <v>6.19</v>
      </c>
      <c r="I16" s="12">
        <v>0</v>
      </c>
    </row>
    <row r="17" spans="2:9" ht="15" customHeight="1" x14ac:dyDescent="0.2">
      <c r="B17" t="s">
        <v>87</v>
      </c>
      <c r="C17" s="12">
        <v>9</v>
      </c>
      <c r="D17" s="8">
        <v>1.91</v>
      </c>
      <c r="E17" s="12">
        <v>5</v>
      </c>
      <c r="F17" s="8">
        <v>2.16</v>
      </c>
      <c r="G17" s="12">
        <v>2</v>
      </c>
      <c r="H17" s="8">
        <v>0.88</v>
      </c>
      <c r="I17" s="12">
        <v>0</v>
      </c>
    </row>
    <row r="18" spans="2:9" ht="15" customHeight="1" x14ac:dyDescent="0.2">
      <c r="B18" t="s">
        <v>88</v>
      </c>
      <c r="C18" s="12">
        <v>26</v>
      </c>
      <c r="D18" s="8">
        <v>5.53</v>
      </c>
      <c r="E18" s="12">
        <v>12</v>
      </c>
      <c r="F18" s="8">
        <v>5.17</v>
      </c>
      <c r="G18" s="12">
        <v>9</v>
      </c>
      <c r="H18" s="8">
        <v>3.98</v>
      </c>
      <c r="I18" s="12">
        <v>0</v>
      </c>
    </row>
    <row r="19" spans="2:9" ht="15" customHeight="1" x14ac:dyDescent="0.2">
      <c r="B19" t="s">
        <v>89</v>
      </c>
      <c r="C19" s="12">
        <v>25</v>
      </c>
      <c r="D19" s="8">
        <v>5.32</v>
      </c>
      <c r="E19" s="12">
        <v>12</v>
      </c>
      <c r="F19" s="8">
        <v>5.17</v>
      </c>
      <c r="G19" s="12">
        <v>12</v>
      </c>
      <c r="H19" s="8">
        <v>5.31</v>
      </c>
      <c r="I19" s="12">
        <v>0</v>
      </c>
    </row>
    <row r="20" spans="2:9" ht="15" customHeight="1" x14ac:dyDescent="0.2">
      <c r="B20" s="9" t="s">
        <v>285</v>
      </c>
      <c r="C20" s="12">
        <f>SUM(LTBL_40226[総数／事業所数])</f>
        <v>470</v>
      </c>
      <c r="E20" s="12">
        <f>SUBTOTAL(109,LTBL_40226[個人／事業所数])</f>
        <v>232</v>
      </c>
      <c r="G20" s="12">
        <f>SUBTOTAL(109,LTBL_40226[法人／事業所数])</f>
        <v>226</v>
      </c>
      <c r="I20" s="12">
        <f>SUBTOTAL(109,LTBL_40226[法人以外の団体／事業所数])</f>
        <v>1</v>
      </c>
    </row>
    <row r="21" spans="2:9" ht="15" customHeight="1" x14ac:dyDescent="0.2">
      <c r="E21" s="11">
        <f>LTBL_40226[[#Totals],[個人／事業所数]]/LTBL_40226[[#Totals],[総数／事業所数]]</f>
        <v>0.49361702127659574</v>
      </c>
      <c r="G21" s="11">
        <f>LTBL_40226[[#Totals],[法人／事業所数]]/LTBL_40226[[#Totals],[総数／事業所数]]</f>
        <v>0.48085106382978721</v>
      </c>
      <c r="I21" s="11">
        <f>LTBL_40226[[#Totals],[法人以外の団体／事業所数]]/LTBL_40226[[#Totals],[総数／事業所数]]</f>
        <v>2.1276595744680851E-3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63</v>
      </c>
      <c r="D24" s="8">
        <v>13.4</v>
      </c>
      <c r="E24" s="12">
        <v>56</v>
      </c>
      <c r="F24" s="8">
        <v>24.14</v>
      </c>
      <c r="G24" s="12">
        <v>7</v>
      </c>
      <c r="H24" s="8">
        <v>3.1</v>
      </c>
      <c r="I24" s="12">
        <v>0</v>
      </c>
    </row>
    <row r="25" spans="2:9" ht="15" customHeight="1" x14ac:dyDescent="0.2">
      <c r="B25" t="s">
        <v>98</v>
      </c>
      <c r="C25" s="12">
        <v>48</v>
      </c>
      <c r="D25" s="8">
        <v>10.210000000000001</v>
      </c>
      <c r="E25" s="12">
        <v>11</v>
      </c>
      <c r="F25" s="8">
        <v>4.74</v>
      </c>
      <c r="G25" s="12">
        <v>37</v>
      </c>
      <c r="H25" s="8">
        <v>16.37</v>
      </c>
      <c r="I25" s="12">
        <v>0</v>
      </c>
    </row>
    <row r="26" spans="2:9" ht="15" customHeight="1" x14ac:dyDescent="0.2">
      <c r="B26" t="s">
        <v>107</v>
      </c>
      <c r="C26" s="12">
        <v>38</v>
      </c>
      <c r="D26" s="8">
        <v>8.09</v>
      </c>
      <c r="E26" s="12">
        <v>15</v>
      </c>
      <c r="F26" s="8">
        <v>6.47</v>
      </c>
      <c r="G26" s="12">
        <v>23</v>
      </c>
      <c r="H26" s="8">
        <v>10.18</v>
      </c>
      <c r="I26" s="12">
        <v>0</v>
      </c>
    </row>
    <row r="27" spans="2:9" ht="15" customHeight="1" x14ac:dyDescent="0.2">
      <c r="B27" t="s">
        <v>112</v>
      </c>
      <c r="C27" s="12">
        <v>36</v>
      </c>
      <c r="D27" s="8">
        <v>7.66</v>
      </c>
      <c r="E27" s="12">
        <v>29</v>
      </c>
      <c r="F27" s="8">
        <v>12.5</v>
      </c>
      <c r="G27" s="12">
        <v>7</v>
      </c>
      <c r="H27" s="8">
        <v>3.1</v>
      </c>
      <c r="I27" s="12">
        <v>0</v>
      </c>
    </row>
    <row r="28" spans="2:9" ht="15" customHeight="1" x14ac:dyDescent="0.2">
      <c r="B28" t="s">
        <v>105</v>
      </c>
      <c r="C28" s="12">
        <v>31</v>
      </c>
      <c r="D28" s="8">
        <v>6.6</v>
      </c>
      <c r="E28" s="12">
        <v>21</v>
      </c>
      <c r="F28" s="8">
        <v>9.0500000000000007</v>
      </c>
      <c r="G28" s="12">
        <v>10</v>
      </c>
      <c r="H28" s="8">
        <v>4.42</v>
      </c>
      <c r="I28" s="12">
        <v>0</v>
      </c>
    </row>
    <row r="29" spans="2:9" ht="15" customHeight="1" x14ac:dyDescent="0.2">
      <c r="B29" t="s">
        <v>106</v>
      </c>
      <c r="C29" s="12">
        <v>23</v>
      </c>
      <c r="D29" s="8">
        <v>4.8899999999999997</v>
      </c>
      <c r="E29" s="12">
        <v>14</v>
      </c>
      <c r="F29" s="8">
        <v>6.03</v>
      </c>
      <c r="G29" s="12">
        <v>9</v>
      </c>
      <c r="H29" s="8">
        <v>3.98</v>
      </c>
      <c r="I29" s="12">
        <v>0</v>
      </c>
    </row>
    <row r="30" spans="2:9" ht="15" customHeight="1" x14ac:dyDescent="0.2">
      <c r="B30" t="s">
        <v>100</v>
      </c>
      <c r="C30" s="12">
        <v>22</v>
      </c>
      <c r="D30" s="8">
        <v>4.68</v>
      </c>
      <c r="E30" s="12">
        <v>4</v>
      </c>
      <c r="F30" s="8">
        <v>1.72</v>
      </c>
      <c r="G30" s="12">
        <v>18</v>
      </c>
      <c r="H30" s="8">
        <v>7.96</v>
      </c>
      <c r="I30" s="12">
        <v>0</v>
      </c>
    </row>
    <row r="31" spans="2:9" ht="15" customHeight="1" x14ac:dyDescent="0.2">
      <c r="B31" t="s">
        <v>99</v>
      </c>
      <c r="C31" s="12">
        <v>19</v>
      </c>
      <c r="D31" s="8">
        <v>4.04</v>
      </c>
      <c r="E31" s="12">
        <v>8</v>
      </c>
      <c r="F31" s="8">
        <v>3.45</v>
      </c>
      <c r="G31" s="12">
        <v>11</v>
      </c>
      <c r="H31" s="8">
        <v>4.87</v>
      </c>
      <c r="I31" s="12">
        <v>0</v>
      </c>
    </row>
    <row r="32" spans="2:9" ht="15" customHeight="1" x14ac:dyDescent="0.2">
      <c r="B32" t="s">
        <v>109</v>
      </c>
      <c r="C32" s="12">
        <v>18</v>
      </c>
      <c r="D32" s="8">
        <v>3.83</v>
      </c>
      <c r="E32" s="12">
        <v>5</v>
      </c>
      <c r="F32" s="8">
        <v>2.16</v>
      </c>
      <c r="G32" s="12">
        <v>13</v>
      </c>
      <c r="H32" s="8">
        <v>5.75</v>
      </c>
      <c r="I32" s="12">
        <v>0</v>
      </c>
    </row>
    <row r="33" spans="2:9" ht="15" customHeight="1" x14ac:dyDescent="0.2">
      <c r="B33" t="s">
        <v>116</v>
      </c>
      <c r="C33" s="12">
        <v>14</v>
      </c>
      <c r="D33" s="8">
        <v>2.98</v>
      </c>
      <c r="E33" s="12">
        <v>0</v>
      </c>
      <c r="F33" s="8">
        <v>0</v>
      </c>
      <c r="G33" s="12">
        <v>9</v>
      </c>
      <c r="H33" s="8">
        <v>3.98</v>
      </c>
      <c r="I33" s="12">
        <v>0</v>
      </c>
    </row>
    <row r="34" spans="2:9" ht="15" customHeight="1" x14ac:dyDescent="0.2">
      <c r="B34" t="s">
        <v>115</v>
      </c>
      <c r="C34" s="12">
        <v>12</v>
      </c>
      <c r="D34" s="8">
        <v>2.5499999999999998</v>
      </c>
      <c r="E34" s="12">
        <v>12</v>
      </c>
      <c r="F34" s="8">
        <v>5.17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123</v>
      </c>
      <c r="C35" s="12">
        <v>12</v>
      </c>
      <c r="D35" s="8">
        <v>2.5499999999999998</v>
      </c>
      <c r="E35" s="12">
        <v>10</v>
      </c>
      <c r="F35" s="8">
        <v>4.3099999999999996</v>
      </c>
      <c r="G35" s="12">
        <v>2</v>
      </c>
      <c r="H35" s="8">
        <v>0.88</v>
      </c>
      <c r="I35" s="12">
        <v>0</v>
      </c>
    </row>
    <row r="36" spans="2:9" ht="15" customHeight="1" x14ac:dyDescent="0.2">
      <c r="B36" t="s">
        <v>111</v>
      </c>
      <c r="C36" s="12">
        <v>9</v>
      </c>
      <c r="D36" s="8">
        <v>1.91</v>
      </c>
      <c r="E36" s="12">
        <v>5</v>
      </c>
      <c r="F36" s="8">
        <v>2.16</v>
      </c>
      <c r="G36" s="12">
        <v>3</v>
      </c>
      <c r="H36" s="8">
        <v>1.33</v>
      </c>
      <c r="I36" s="12">
        <v>0</v>
      </c>
    </row>
    <row r="37" spans="2:9" ht="15" customHeight="1" x14ac:dyDescent="0.2">
      <c r="B37" t="s">
        <v>118</v>
      </c>
      <c r="C37" s="12">
        <v>9</v>
      </c>
      <c r="D37" s="8">
        <v>1.91</v>
      </c>
      <c r="E37" s="12">
        <v>3</v>
      </c>
      <c r="F37" s="8">
        <v>1.29</v>
      </c>
      <c r="G37" s="12">
        <v>6</v>
      </c>
      <c r="H37" s="8">
        <v>2.65</v>
      </c>
      <c r="I37" s="12">
        <v>0</v>
      </c>
    </row>
    <row r="38" spans="2:9" ht="15" customHeight="1" x14ac:dyDescent="0.2">
      <c r="B38" t="s">
        <v>114</v>
      </c>
      <c r="C38" s="12">
        <v>9</v>
      </c>
      <c r="D38" s="8">
        <v>1.91</v>
      </c>
      <c r="E38" s="12">
        <v>5</v>
      </c>
      <c r="F38" s="8">
        <v>2.16</v>
      </c>
      <c r="G38" s="12">
        <v>2</v>
      </c>
      <c r="H38" s="8">
        <v>0.88</v>
      </c>
      <c r="I38" s="12">
        <v>0</v>
      </c>
    </row>
    <row r="39" spans="2:9" ht="15" customHeight="1" x14ac:dyDescent="0.2">
      <c r="B39" t="s">
        <v>121</v>
      </c>
      <c r="C39" s="12">
        <v>8</v>
      </c>
      <c r="D39" s="8">
        <v>1.7</v>
      </c>
      <c r="E39" s="12">
        <v>3</v>
      </c>
      <c r="F39" s="8">
        <v>1.29</v>
      </c>
      <c r="G39" s="12">
        <v>5</v>
      </c>
      <c r="H39" s="8">
        <v>2.21</v>
      </c>
      <c r="I39" s="12">
        <v>0</v>
      </c>
    </row>
    <row r="40" spans="2:9" ht="15" customHeight="1" x14ac:dyDescent="0.2">
      <c r="B40" t="s">
        <v>130</v>
      </c>
      <c r="C40" s="12">
        <v>7</v>
      </c>
      <c r="D40" s="8">
        <v>1.49</v>
      </c>
      <c r="E40" s="12">
        <v>4</v>
      </c>
      <c r="F40" s="8">
        <v>1.72</v>
      </c>
      <c r="G40" s="12">
        <v>3</v>
      </c>
      <c r="H40" s="8">
        <v>1.33</v>
      </c>
      <c r="I40" s="12">
        <v>0</v>
      </c>
    </row>
    <row r="41" spans="2:9" ht="15" customHeight="1" x14ac:dyDescent="0.2">
      <c r="B41" t="s">
        <v>137</v>
      </c>
      <c r="C41" s="12">
        <v>7</v>
      </c>
      <c r="D41" s="8">
        <v>1.49</v>
      </c>
      <c r="E41" s="12">
        <v>0</v>
      </c>
      <c r="F41" s="8">
        <v>0</v>
      </c>
      <c r="G41" s="12">
        <v>7</v>
      </c>
      <c r="H41" s="8">
        <v>3.1</v>
      </c>
      <c r="I41" s="12">
        <v>0</v>
      </c>
    </row>
    <row r="42" spans="2:9" ht="15" customHeight="1" x14ac:dyDescent="0.2">
      <c r="B42" t="s">
        <v>101</v>
      </c>
      <c r="C42" s="12">
        <v>7</v>
      </c>
      <c r="D42" s="8">
        <v>1.49</v>
      </c>
      <c r="E42" s="12">
        <v>1</v>
      </c>
      <c r="F42" s="8">
        <v>0.43</v>
      </c>
      <c r="G42" s="12">
        <v>6</v>
      </c>
      <c r="H42" s="8">
        <v>2.65</v>
      </c>
      <c r="I42" s="12">
        <v>0</v>
      </c>
    </row>
    <row r="43" spans="2:9" ht="15" customHeight="1" x14ac:dyDescent="0.2">
      <c r="B43" t="s">
        <v>110</v>
      </c>
      <c r="C43" s="12">
        <v>7</v>
      </c>
      <c r="D43" s="8">
        <v>1.49</v>
      </c>
      <c r="E43" s="12">
        <v>5</v>
      </c>
      <c r="F43" s="8">
        <v>2.16</v>
      </c>
      <c r="G43" s="12">
        <v>2</v>
      </c>
      <c r="H43" s="8">
        <v>0.88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170</v>
      </c>
      <c r="C47" s="12">
        <v>28</v>
      </c>
      <c r="D47" s="8">
        <v>5.96</v>
      </c>
      <c r="E47" s="12">
        <v>26</v>
      </c>
      <c r="F47" s="8">
        <v>11.21</v>
      </c>
      <c r="G47" s="12">
        <v>2</v>
      </c>
      <c r="H47" s="8">
        <v>0.88</v>
      </c>
      <c r="I47" s="12">
        <v>0</v>
      </c>
    </row>
    <row r="48" spans="2:9" ht="15" customHeight="1" x14ac:dyDescent="0.2">
      <c r="B48" t="s">
        <v>169</v>
      </c>
      <c r="C48" s="12">
        <v>24</v>
      </c>
      <c r="D48" s="8">
        <v>5.1100000000000003</v>
      </c>
      <c r="E48" s="12">
        <v>24</v>
      </c>
      <c r="F48" s="8">
        <v>10.34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154</v>
      </c>
      <c r="C49" s="12">
        <v>21</v>
      </c>
      <c r="D49" s="8">
        <v>4.47</v>
      </c>
      <c r="E49" s="12">
        <v>2</v>
      </c>
      <c r="F49" s="8">
        <v>0.86</v>
      </c>
      <c r="G49" s="12">
        <v>19</v>
      </c>
      <c r="H49" s="8">
        <v>8.41</v>
      </c>
      <c r="I49" s="12">
        <v>0</v>
      </c>
    </row>
    <row r="50" spans="2:9" ht="15" customHeight="1" x14ac:dyDescent="0.2">
      <c r="B50" t="s">
        <v>159</v>
      </c>
      <c r="C50" s="12">
        <v>14</v>
      </c>
      <c r="D50" s="8">
        <v>2.98</v>
      </c>
      <c r="E50" s="12">
        <v>10</v>
      </c>
      <c r="F50" s="8">
        <v>4.3099999999999996</v>
      </c>
      <c r="G50" s="12">
        <v>4</v>
      </c>
      <c r="H50" s="8">
        <v>1.77</v>
      </c>
      <c r="I50" s="12">
        <v>0</v>
      </c>
    </row>
    <row r="51" spans="2:9" ht="15" customHeight="1" x14ac:dyDescent="0.2">
      <c r="B51" t="s">
        <v>166</v>
      </c>
      <c r="C51" s="12">
        <v>14</v>
      </c>
      <c r="D51" s="8">
        <v>2.98</v>
      </c>
      <c r="E51" s="12">
        <v>9</v>
      </c>
      <c r="F51" s="8">
        <v>3.88</v>
      </c>
      <c r="G51" s="12">
        <v>5</v>
      </c>
      <c r="H51" s="8">
        <v>2.21</v>
      </c>
      <c r="I51" s="12">
        <v>0</v>
      </c>
    </row>
    <row r="52" spans="2:9" ht="15" customHeight="1" x14ac:dyDescent="0.2">
      <c r="B52" t="s">
        <v>155</v>
      </c>
      <c r="C52" s="12">
        <v>12</v>
      </c>
      <c r="D52" s="8">
        <v>2.5499999999999998</v>
      </c>
      <c r="E52" s="12">
        <v>5</v>
      </c>
      <c r="F52" s="8">
        <v>2.16</v>
      </c>
      <c r="G52" s="12">
        <v>7</v>
      </c>
      <c r="H52" s="8">
        <v>3.1</v>
      </c>
      <c r="I52" s="12">
        <v>0</v>
      </c>
    </row>
    <row r="53" spans="2:9" ht="15" customHeight="1" x14ac:dyDescent="0.2">
      <c r="B53" t="s">
        <v>173</v>
      </c>
      <c r="C53" s="12">
        <v>12</v>
      </c>
      <c r="D53" s="8">
        <v>2.5499999999999998</v>
      </c>
      <c r="E53" s="12">
        <v>10</v>
      </c>
      <c r="F53" s="8">
        <v>4.3099999999999996</v>
      </c>
      <c r="G53" s="12">
        <v>2</v>
      </c>
      <c r="H53" s="8">
        <v>0.88</v>
      </c>
      <c r="I53" s="12">
        <v>0</v>
      </c>
    </row>
    <row r="54" spans="2:9" ht="15" customHeight="1" x14ac:dyDescent="0.2">
      <c r="B54" t="s">
        <v>158</v>
      </c>
      <c r="C54" s="12">
        <v>11</v>
      </c>
      <c r="D54" s="8">
        <v>2.34</v>
      </c>
      <c r="E54" s="12">
        <v>7</v>
      </c>
      <c r="F54" s="8">
        <v>3.02</v>
      </c>
      <c r="G54" s="12">
        <v>4</v>
      </c>
      <c r="H54" s="8">
        <v>1.77</v>
      </c>
      <c r="I54" s="12">
        <v>0</v>
      </c>
    </row>
    <row r="55" spans="2:9" ht="15" customHeight="1" x14ac:dyDescent="0.2">
      <c r="B55" t="s">
        <v>205</v>
      </c>
      <c r="C55" s="12">
        <v>11</v>
      </c>
      <c r="D55" s="8">
        <v>2.34</v>
      </c>
      <c r="E55" s="12">
        <v>4</v>
      </c>
      <c r="F55" s="8">
        <v>1.72</v>
      </c>
      <c r="G55" s="12">
        <v>7</v>
      </c>
      <c r="H55" s="8">
        <v>3.1</v>
      </c>
      <c r="I55" s="12">
        <v>0</v>
      </c>
    </row>
    <row r="56" spans="2:9" ht="15" customHeight="1" x14ac:dyDescent="0.2">
      <c r="B56" t="s">
        <v>181</v>
      </c>
      <c r="C56" s="12">
        <v>9</v>
      </c>
      <c r="D56" s="8">
        <v>1.91</v>
      </c>
      <c r="E56" s="12">
        <v>7</v>
      </c>
      <c r="F56" s="8">
        <v>3.02</v>
      </c>
      <c r="G56" s="12">
        <v>2</v>
      </c>
      <c r="H56" s="8">
        <v>0.88</v>
      </c>
      <c r="I56" s="12">
        <v>0</v>
      </c>
    </row>
    <row r="57" spans="2:9" ht="15" customHeight="1" x14ac:dyDescent="0.2">
      <c r="B57" t="s">
        <v>164</v>
      </c>
      <c r="C57" s="12">
        <v>9</v>
      </c>
      <c r="D57" s="8">
        <v>1.91</v>
      </c>
      <c r="E57" s="12">
        <v>3</v>
      </c>
      <c r="F57" s="8">
        <v>1.29</v>
      </c>
      <c r="G57" s="12">
        <v>6</v>
      </c>
      <c r="H57" s="8">
        <v>2.65</v>
      </c>
      <c r="I57" s="12">
        <v>0</v>
      </c>
    </row>
    <row r="58" spans="2:9" ht="15" customHeight="1" x14ac:dyDescent="0.2">
      <c r="B58" t="s">
        <v>165</v>
      </c>
      <c r="C58" s="12">
        <v>9</v>
      </c>
      <c r="D58" s="8">
        <v>1.91</v>
      </c>
      <c r="E58" s="12">
        <v>5</v>
      </c>
      <c r="F58" s="8">
        <v>2.16</v>
      </c>
      <c r="G58" s="12">
        <v>3</v>
      </c>
      <c r="H58" s="8">
        <v>1.33</v>
      </c>
      <c r="I58" s="12">
        <v>0</v>
      </c>
    </row>
    <row r="59" spans="2:9" ht="15" customHeight="1" x14ac:dyDescent="0.2">
      <c r="B59" t="s">
        <v>174</v>
      </c>
      <c r="C59" s="12">
        <v>8</v>
      </c>
      <c r="D59" s="8">
        <v>1.7</v>
      </c>
      <c r="E59" s="12">
        <v>4</v>
      </c>
      <c r="F59" s="8">
        <v>1.72</v>
      </c>
      <c r="G59" s="12">
        <v>4</v>
      </c>
      <c r="H59" s="8">
        <v>1.77</v>
      </c>
      <c r="I59" s="12">
        <v>0</v>
      </c>
    </row>
    <row r="60" spans="2:9" ht="15" customHeight="1" x14ac:dyDescent="0.2">
      <c r="B60" t="s">
        <v>172</v>
      </c>
      <c r="C60" s="12">
        <v>8</v>
      </c>
      <c r="D60" s="8">
        <v>1.7</v>
      </c>
      <c r="E60" s="12">
        <v>8</v>
      </c>
      <c r="F60" s="8">
        <v>3.45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156</v>
      </c>
      <c r="C61" s="12">
        <v>7</v>
      </c>
      <c r="D61" s="8">
        <v>1.49</v>
      </c>
      <c r="E61" s="12">
        <v>0</v>
      </c>
      <c r="F61" s="8">
        <v>0</v>
      </c>
      <c r="G61" s="12">
        <v>7</v>
      </c>
      <c r="H61" s="8">
        <v>3.1</v>
      </c>
      <c r="I61" s="12">
        <v>0</v>
      </c>
    </row>
    <row r="62" spans="2:9" ht="15" customHeight="1" x14ac:dyDescent="0.2">
      <c r="B62" t="s">
        <v>160</v>
      </c>
      <c r="C62" s="12">
        <v>7</v>
      </c>
      <c r="D62" s="8">
        <v>1.49</v>
      </c>
      <c r="E62" s="12">
        <v>2</v>
      </c>
      <c r="F62" s="8">
        <v>0.86</v>
      </c>
      <c r="G62" s="12">
        <v>5</v>
      </c>
      <c r="H62" s="8">
        <v>2.21</v>
      </c>
      <c r="I62" s="12">
        <v>0</v>
      </c>
    </row>
    <row r="63" spans="2:9" ht="15" customHeight="1" x14ac:dyDescent="0.2">
      <c r="B63" t="s">
        <v>221</v>
      </c>
      <c r="C63" s="12">
        <v>6</v>
      </c>
      <c r="D63" s="8">
        <v>1.28</v>
      </c>
      <c r="E63" s="12">
        <v>0</v>
      </c>
      <c r="F63" s="8">
        <v>0</v>
      </c>
      <c r="G63" s="12">
        <v>6</v>
      </c>
      <c r="H63" s="8">
        <v>2.65</v>
      </c>
      <c r="I63" s="12">
        <v>0</v>
      </c>
    </row>
    <row r="64" spans="2:9" ht="15" customHeight="1" x14ac:dyDescent="0.2">
      <c r="B64" t="s">
        <v>224</v>
      </c>
      <c r="C64" s="12">
        <v>6</v>
      </c>
      <c r="D64" s="8">
        <v>1.28</v>
      </c>
      <c r="E64" s="12">
        <v>0</v>
      </c>
      <c r="F64" s="8">
        <v>0</v>
      </c>
      <c r="G64" s="12">
        <v>6</v>
      </c>
      <c r="H64" s="8">
        <v>2.65</v>
      </c>
      <c r="I64" s="12">
        <v>0</v>
      </c>
    </row>
    <row r="65" spans="2:9" ht="15" customHeight="1" x14ac:dyDescent="0.2">
      <c r="B65" t="s">
        <v>208</v>
      </c>
      <c r="C65" s="12">
        <v>6</v>
      </c>
      <c r="D65" s="8">
        <v>1.28</v>
      </c>
      <c r="E65" s="12">
        <v>3</v>
      </c>
      <c r="F65" s="8">
        <v>1.29</v>
      </c>
      <c r="G65" s="12">
        <v>3</v>
      </c>
      <c r="H65" s="8">
        <v>1.33</v>
      </c>
      <c r="I65" s="12">
        <v>0</v>
      </c>
    </row>
    <row r="66" spans="2:9" ht="15" customHeight="1" x14ac:dyDescent="0.2">
      <c r="B66" t="s">
        <v>225</v>
      </c>
      <c r="C66" s="12">
        <v>6</v>
      </c>
      <c r="D66" s="8">
        <v>1.28</v>
      </c>
      <c r="E66" s="12">
        <v>1</v>
      </c>
      <c r="F66" s="8">
        <v>0.43</v>
      </c>
      <c r="G66" s="12">
        <v>5</v>
      </c>
      <c r="H66" s="8">
        <v>2.21</v>
      </c>
      <c r="I66" s="12">
        <v>0</v>
      </c>
    </row>
    <row r="67" spans="2:9" ht="15" customHeight="1" x14ac:dyDescent="0.2">
      <c r="B67" t="s">
        <v>167</v>
      </c>
      <c r="C67" s="12">
        <v>6</v>
      </c>
      <c r="D67" s="8">
        <v>1.28</v>
      </c>
      <c r="E67" s="12">
        <v>6</v>
      </c>
      <c r="F67" s="8">
        <v>2.59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201</v>
      </c>
      <c r="C68" s="12">
        <v>6</v>
      </c>
      <c r="D68" s="8">
        <v>1.28</v>
      </c>
      <c r="E68" s="12">
        <v>3</v>
      </c>
      <c r="F68" s="8">
        <v>1.29</v>
      </c>
      <c r="G68" s="12">
        <v>3</v>
      </c>
      <c r="H68" s="8">
        <v>1.33</v>
      </c>
      <c r="I68" s="12">
        <v>0</v>
      </c>
    </row>
    <row r="70" spans="2:9" ht="15" customHeight="1" x14ac:dyDescent="0.2">
      <c r="B70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22B24-8D93-4FF4-9D8D-C86FE5440C52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327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116</v>
      </c>
      <c r="D6" s="8">
        <v>16.22</v>
      </c>
      <c r="E6" s="12">
        <v>52</v>
      </c>
      <c r="F6" s="8">
        <v>11.5</v>
      </c>
      <c r="G6" s="12">
        <v>64</v>
      </c>
      <c r="H6" s="8">
        <v>27.23</v>
      </c>
      <c r="I6" s="12">
        <v>0</v>
      </c>
    </row>
    <row r="7" spans="2:9" ht="15" customHeight="1" x14ac:dyDescent="0.2">
      <c r="B7" t="s">
        <v>77</v>
      </c>
      <c r="C7" s="12">
        <v>59</v>
      </c>
      <c r="D7" s="8">
        <v>8.25</v>
      </c>
      <c r="E7" s="12">
        <v>29</v>
      </c>
      <c r="F7" s="8">
        <v>6.42</v>
      </c>
      <c r="G7" s="12">
        <v>30</v>
      </c>
      <c r="H7" s="8">
        <v>12.77</v>
      </c>
      <c r="I7" s="12">
        <v>0</v>
      </c>
    </row>
    <row r="8" spans="2:9" ht="15" customHeight="1" x14ac:dyDescent="0.2">
      <c r="B8" t="s">
        <v>78</v>
      </c>
      <c r="C8" s="12">
        <v>6</v>
      </c>
      <c r="D8" s="8">
        <v>0.84</v>
      </c>
      <c r="E8" s="12">
        <v>0</v>
      </c>
      <c r="F8" s="8">
        <v>0</v>
      </c>
      <c r="G8" s="12">
        <v>2</v>
      </c>
      <c r="H8" s="8">
        <v>0.85</v>
      </c>
      <c r="I8" s="12">
        <v>0</v>
      </c>
    </row>
    <row r="9" spans="2:9" ht="15" customHeight="1" x14ac:dyDescent="0.2">
      <c r="B9" t="s">
        <v>79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80</v>
      </c>
      <c r="C10" s="12">
        <v>3</v>
      </c>
      <c r="D10" s="8">
        <v>0.42</v>
      </c>
      <c r="E10" s="12">
        <v>2</v>
      </c>
      <c r="F10" s="8">
        <v>0.44</v>
      </c>
      <c r="G10" s="12">
        <v>1</v>
      </c>
      <c r="H10" s="8">
        <v>0.43</v>
      </c>
      <c r="I10" s="12">
        <v>0</v>
      </c>
    </row>
    <row r="11" spans="2:9" ht="15" customHeight="1" x14ac:dyDescent="0.2">
      <c r="B11" t="s">
        <v>81</v>
      </c>
      <c r="C11" s="12">
        <v>196</v>
      </c>
      <c r="D11" s="8">
        <v>27.41</v>
      </c>
      <c r="E11" s="12">
        <v>131</v>
      </c>
      <c r="F11" s="8">
        <v>28.98</v>
      </c>
      <c r="G11" s="12">
        <v>65</v>
      </c>
      <c r="H11" s="8">
        <v>27.66</v>
      </c>
      <c r="I11" s="12">
        <v>0</v>
      </c>
    </row>
    <row r="12" spans="2:9" ht="15" customHeight="1" x14ac:dyDescent="0.2">
      <c r="B12" t="s">
        <v>82</v>
      </c>
      <c r="C12" s="12">
        <v>1</v>
      </c>
      <c r="D12" s="8">
        <v>0.14000000000000001</v>
      </c>
      <c r="E12" s="12">
        <v>0</v>
      </c>
      <c r="F12" s="8">
        <v>0</v>
      </c>
      <c r="G12" s="12">
        <v>1</v>
      </c>
      <c r="H12" s="8">
        <v>0.43</v>
      </c>
      <c r="I12" s="12">
        <v>0</v>
      </c>
    </row>
    <row r="13" spans="2:9" ht="15" customHeight="1" x14ac:dyDescent="0.2">
      <c r="B13" t="s">
        <v>83</v>
      </c>
      <c r="C13" s="12">
        <v>19</v>
      </c>
      <c r="D13" s="8">
        <v>2.66</v>
      </c>
      <c r="E13" s="12">
        <v>6</v>
      </c>
      <c r="F13" s="8">
        <v>1.33</v>
      </c>
      <c r="G13" s="12">
        <v>13</v>
      </c>
      <c r="H13" s="8">
        <v>5.53</v>
      </c>
      <c r="I13" s="12">
        <v>0</v>
      </c>
    </row>
    <row r="14" spans="2:9" ht="15" customHeight="1" x14ac:dyDescent="0.2">
      <c r="B14" t="s">
        <v>84</v>
      </c>
      <c r="C14" s="12">
        <v>23</v>
      </c>
      <c r="D14" s="8">
        <v>3.22</v>
      </c>
      <c r="E14" s="12">
        <v>12</v>
      </c>
      <c r="F14" s="8">
        <v>2.65</v>
      </c>
      <c r="G14" s="12">
        <v>11</v>
      </c>
      <c r="H14" s="8">
        <v>4.68</v>
      </c>
      <c r="I14" s="12">
        <v>0</v>
      </c>
    </row>
    <row r="15" spans="2:9" ht="15" customHeight="1" x14ac:dyDescent="0.2">
      <c r="B15" t="s">
        <v>85</v>
      </c>
      <c r="C15" s="12">
        <v>69</v>
      </c>
      <c r="D15" s="8">
        <v>9.65</v>
      </c>
      <c r="E15" s="12">
        <v>63</v>
      </c>
      <c r="F15" s="8">
        <v>13.94</v>
      </c>
      <c r="G15" s="12">
        <v>6</v>
      </c>
      <c r="H15" s="8">
        <v>2.5499999999999998</v>
      </c>
      <c r="I15" s="12">
        <v>0</v>
      </c>
    </row>
    <row r="16" spans="2:9" ht="15" customHeight="1" x14ac:dyDescent="0.2">
      <c r="B16" t="s">
        <v>86</v>
      </c>
      <c r="C16" s="12">
        <v>116</v>
      </c>
      <c r="D16" s="8">
        <v>16.22</v>
      </c>
      <c r="E16" s="12">
        <v>101</v>
      </c>
      <c r="F16" s="8">
        <v>22.35</v>
      </c>
      <c r="G16" s="12">
        <v>14</v>
      </c>
      <c r="H16" s="8">
        <v>5.96</v>
      </c>
      <c r="I16" s="12">
        <v>0</v>
      </c>
    </row>
    <row r="17" spans="2:9" ht="15" customHeight="1" x14ac:dyDescent="0.2">
      <c r="B17" t="s">
        <v>87</v>
      </c>
      <c r="C17" s="12">
        <v>18</v>
      </c>
      <c r="D17" s="8">
        <v>2.52</v>
      </c>
      <c r="E17" s="12">
        <v>9</v>
      </c>
      <c r="F17" s="8">
        <v>1.99</v>
      </c>
      <c r="G17" s="12">
        <v>1</v>
      </c>
      <c r="H17" s="8">
        <v>0.43</v>
      </c>
      <c r="I17" s="12">
        <v>1</v>
      </c>
    </row>
    <row r="18" spans="2:9" ht="15" customHeight="1" x14ac:dyDescent="0.2">
      <c r="B18" t="s">
        <v>88</v>
      </c>
      <c r="C18" s="12">
        <v>57</v>
      </c>
      <c r="D18" s="8">
        <v>7.97</v>
      </c>
      <c r="E18" s="12">
        <v>27</v>
      </c>
      <c r="F18" s="8">
        <v>5.97</v>
      </c>
      <c r="G18" s="12">
        <v>17</v>
      </c>
      <c r="H18" s="8">
        <v>7.23</v>
      </c>
      <c r="I18" s="12">
        <v>0</v>
      </c>
    </row>
    <row r="19" spans="2:9" ht="15" customHeight="1" x14ac:dyDescent="0.2">
      <c r="B19" t="s">
        <v>89</v>
      </c>
      <c r="C19" s="12">
        <v>32</v>
      </c>
      <c r="D19" s="8">
        <v>4.4800000000000004</v>
      </c>
      <c r="E19" s="12">
        <v>20</v>
      </c>
      <c r="F19" s="8">
        <v>4.42</v>
      </c>
      <c r="G19" s="12">
        <v>10</v>
      </c>
      <c r="H19" s="8">
        <v>4.26</v>
      </c>
      <c r="I19" s="12">
        <v>0</v>
      </c>
    </row>
    <row r="20" spans="2:9" ht="15" customHeight="1" x14ac:dyDescent="0.2">
      <c r="B20" s="9" t="s">
        <v>285</v>
      </c>
      <c r="C20" s="12">
        <f>SUM(LTBL_40227[総数／事業所数])</f>
        <v>715</v>
      </c>
      <c r="E20" s="12">
        <f>SUBTOTAL(109,LTBL_40227[個人／事業所数])</f>
        <v>452</v>
      </c>
      <c r="G20" s="12">
        <f>SUBTOTAL(109,LTBL_40227[法人／事業所数])</f>
        <v>235</v>
      </c>
      <c r="I20" s="12">
        <f>SUBTOTAL(109,LTBL_40227[法人以外の団体／事業所数])</f>
        <v>1</v>
      </c>
    </row>
    <row r="21" spans="2:9" ht="15" customHeight="1" x14ac:dyDescent="0.2">
      <c r="E21" s="11">
        <f>LTBL_40227[[#Totals],[個人／事業所数]]/LTBL_40227[[#Totals],[総数／事業所数]]</f>
        <v>0.63216783216783212</v>
      </c>
      <c r="G21" s="11">
        <f>LTBL_40227[[#Totals],[法人／事業所数]]/LTBL_40227[[#Totals],[総数／事業所数]]</f>
        <v>0.32867132867132864</v>
      </c>
      <c r="I21" s="11">
        <f>LTBL_40227[[#Totals],[法人以外の団体／事業所数]]/LTBL_40227[[#Totals],[総数／事業所数]]</f>
        <v>1.3986013986013986E-3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102</v>
      </c>
      <c r="D24" s="8">
        <v>14.27</v>
      </c>
      <c r="E24" s="12">
        <v>94</v>
      </c>
      <c r="F24" s="8">
        <v>20.8</v>
      </c>
      <c r="G24" s="12">
        <v>8</v>
      </c>
      <c r="H24" s="8">
        <v>3.4</v>
      </c>
      <c r="I24" s="12">
        <v>0</v>
      </c>
    </row>
    <row r="25" spans="2:9" ht="15" customHeight="1" x14ac:dyDescent="0.2">
      <c r="B25" t="s">
        <v>98</v>
      </c>
      <c r="C25" s="12">
        <v>72</v>
      </c>
      <c r="D25" s="8">
        <v>10.07</v>
      </c>
      <c r="E25" s="12">
        <v>22</v>
      </c>
      <c r="F25" s="8">
        <v>4.87</v>
      </c>
      <c r="G25" s="12">
        <v>50</v>
      </c>
      <c r="H25" s="8">
        <v>21.28</v>
      </c>
      <c r="I25" s="12">
        <v>0</v>
      </c>
    </row>
    <row r="26" spans="2:9" ht="15" customHeight="1" x14ac:dyDescent="0.2">
      <c r="B26" t="s">
        <v>107</v>
      </c>
      <c r="C26" s="12">
        <v>68</v>
      </c>
      <c r="D26" s="8">
        <v>9.51</v>
      </c>
      <c r="E26" s="12">
        <v>45</v>
      </c>
      <c r="F26" s="8">
        <v>9.9600000000000009</v>
      </c>
      <c r="G26" s="12">
        <v>23</v>
      </c>
      <c r="H26" s="8">
        <v>9.7899999999999991</v>
      </c>
      <c r="I26" s="12">
        <v>0</v>
      </c>
    </row>
    <row r="27" spans="2:9" ht="15" customHeight="1" x14ac:dyDescent="0.2">
      <c r="B27" t="s">
        <v>112</v>
      </c>
      <c r="C27" s="12">
        <v>59</v>
      </c>
      <c r="D27" s="8">
        <v>8.25</v>
      </c>
      <c r="E27" s="12">
        <v>55</v>
      </c>
      <c r="F27" s="8">
        <v>12.17</v>
      </c>
      <c r="G27" s="12">
        <v>4</v>
      </c>
      <c r="H27" s="8">
        <v>1.7</v>
      </c>
      <c r="I27" s="12">
        <v>0</v>
      </c>
    </row>
    <row r="28" spans="2:9" ht="15" customHeight="1" x14ac:dyDescent="0.2">
      <c r="B28" t="s">
        <v>105</v>
      </c>
      <c r="C28" s="12">
        <v>53</v>
      </c>
      <c r="D28" s="8">
        <v>7.41</v>
      </c>
      <c r="E28" s="12">
        <v>42</v>
      </c>
      <c r="F28" s="8">
        <v>9.2899999999999991</v>
      </c>
      <c r="G28" s="12">
        <v>11</v>
      </c>
      <c r="H28" s="8">
        <v>4.68</v>
      </c>
      <c r="I28" s="12">
        <v>0</v>
      </c>
    </row>
    <row r="29" spans="2:9" ht="15" customHeight="1" x14ac:dyDescent="0.2">
      <c r="B29" t="s">
        <v>106</v>
      </c>
      <c r="C29" s="12">
        <v>31</v>
      </c>
      <c r="D29" s="8">
        <v>4.34</v>
      </c>
      <c r="E29" s="12">
        <v>27</v>
      </c>
      <c r="F29" s="8">
        <v>5.97</v>
      </c>
      <c r="G29" s="12">
        <v>4</v>
      </c>
      <c r="H29" s="8">
        <v>1.7</v>
      </c>
      <c r="I29" s="12">
        <v>0</v>
      </c>
    </row>
    <row r="30" spans="2:9" ht="15" customHeight="1" x14ac:dyDescent="0.2">
      <c r="B30" t="s">
        <v>116</v>
      </c>
      <c r="C30" s="12">
        <v>29</v>
      </c>
      <c r="D30" s="8">
        <v>4.0599999999999996</v>
      </c>
      <c r="E30" s="12">
        <v>0</v>
      </c>
      <c r="F30" s="8">
        <v>0</v>
      </c>
      <c r="G30" s="12">
        <v>16</v>
      </c>
      <c r="H30" s="8">
        <v>6.81</v>
      </c>
      <c r="I30" s="12">
        <v>0</v>
      </c>
    </row>
    <row r="31" spans="2:9" ht="15" customHeight="1" x14ac:dyDescent="0.2">
      <c r="B31" t="s">
        <v>115</v>
      </c>
      <c r="C31" s="12">
        <v>28</v>
      </c>
      <c r="D31" s="8">
        <v>3.92</v>
      </c>
      <c r="E31" s="12">
        <v>27</v>
      </c>
      <c r="F31" s="8">
        <v>5.97</v>
      </c>
      <c r="G31" s="12">
        <v>1</v>
      </c>
      <c r="H31" s="8">
        <v>0.43</v>
      </c>
      <c r="I31" s="12">
        <v>0</v>
      </c>
    </row>
    <row r="32" spans="2:9" ht="15" customHeight="1" x14ac:dyDescent="0.2">
      <c r="B32" t="s">
        <v>99</v>
      </c>
      <c r="C32" s="12">
        <v>27</v>
      </c>
      <c r="D32" s="8">
        <v>3.78</v>
      </c>
      <c r="E32" s="12">
        <v>23</v>
      </c>
      <c r="F32" s="8">
        <v>5.09</v>
      </c>
      <c r="G32" s="12">
        <v>4</v>
      </c>
      <c r="H32" s="8">
        <v>1.7</v>
      </c>
      <c r="I32" s="12">
        <v>0</v>
      </c>
    </row>
    <row r="33" spans="2:9" ht="15" customHeight="1" x14ac:dyDescent="0.2">
      <c r="B33" t="s">
        <v>123</v>
      </c>
      <c r="C33" s="12">
        <v>22</v>
      </c>
      <c r="D33" s="8">
        <v>3.08</v>
      </c>
      <c r="E33" s="12">
        <v>19</v>
      </c>
      <c r="F33" s="8">
        <v>4.2</v>
      </c>
      <c r="G33" s="12">
        <v>3</v>
      </c>
      <c r="H33" s="8">
        <v>1.28</v>
      </c>
      <c r="I33" s="12">
        <v>0</v>
      </c>
    </row>
    <row r="34" spans="2:9" ht="15" customHeight="1" x14ac:dyDescent="0.2">
      <c r="B34" t="s">
        <v>114</v>
      </c>
      <c r="C34" s="12">
        <v>18</v>
      </c>
      <c r="D34" s="8">
        <v>2.52</v>
      </c>
      <c r="E34" s="12">
        <v>9</v>
      </c>
      <c r="F34" s="8">
        <v>1.99</v>
      </c>
      <c r="G34" s="12">
        <v>1</v>
      </c>
      <c r="H34" s="8">
        <v>0.43</v>
      </c>
      <c r="I34" s="12">
        <v>1</v>
      </c>
    </row>
    <row r="35" spans="2:9" ht="15" customHeight="1" x14ac:dyDescent="0.2">
      <c r="B35" t="s">
        <v>100</v>
      </c>
      <c r="C35" s="12">
        <v>17</v>
      </c>
      <c r="D35" s="8">
        <v>2.38</v>
      </c>
      <c r="E35" s="12">
        <v>7</v>
      </c>
      <c r="F35" s="8">
        <v>1.55</v>
      </c>
      <c r="G35" s="12">
        <v>10</v>
      </c>
      <c r="H35" s="8">
        <v>4.26</v>
      </c>
      <c r="I35" s="12">
        <v>0</v>
      </c>
    </row>
    <row r="36" spans="2:9" ht="15" customHeight="1" x14ac:dyDescent="0.2">
      <c r="B36" t="s">
        <v>109</v>
      </c>
      <c r="C36" s="12">
        <v>14</v>
      </c>
      <c r="D36" s="8">
        <v>1.96</v>
      </c>
      <c r="E36" s="12">
        <v>4</v>
      </c>
      <c r="F36" s="8">
        <v>0.88</v>
      </c>
      <c r="G36" s="12">
        <v>10</v>
      </c>
      <c r="H36" s="8">
        <v>4.26</v>
      </c>
      <c r="I36" s="12">
        <v>0</v>
      </c>
    </row>
    <row r="37" spans="2:9" ht="15" customHeight="1" x14ac:dyDescent="0.2">
      <c r="B37" t="s">
        <v>104</v>
      </c>
      <c r="C37" s="12">
        <v>13</v>
      </c>
      <c r="D37" s="8">
        <v>1.82</v>
      </c>
      <c r="E37" s="12">
        <v>8</v>
      </c>
      <c r="F37" s="8">
        <v>1.77</v>
      </c>
      <c r="G37" s="12">
        <v>5</v>
      </c>
      <c r="H37" s="8">
        <v>2.13</v>
      </c>
      <c r="I37" s="12">
        <v>0</v>
      </c>
    </row>
    <row r="38" spans="2:9" ht="15" customHeight="1" x14ac:dyDescent="0.2">
      <c r="B38" t="s">
        <v>111</v>
      </c>
      <c r="C38" s="12">
        <v>13</v>
      </c>
      <c r="D38" s="8">
        <v>1.82</v>
      </c>
      <c r="E38" s="12">
        <v>6</v>
      </c>
      <c r="F38" s="8">
        <v>1.33</v>
      </c>
      <c r="G38" s="12">
        <v>7</v>
      </c>
      <c r="H38" s="8">
        <v>2.98</v>
      </c>
      <c r="I38" s="12">
        <v>0</v>
      </c>
    </row>
    <row r="39" spans="2:9" ht="15" customHeight="1" x14ac:dyDescent="0.2">
      <c r="B39" t="s">
        <v>118</v>
      </c>
      <c r="C39" s="12">
        <v>12</v>
      </c>
      <c r="D39" s="8">
        <v>1.68</v>
      </c>
      <c r="E39" s="12">
        <v>6</v>
      </c>
      <c r="F39" s="8">
        <v>1.33</v>
      </c>
      <c r="G39" s="12">
        <v>6</v>
      </c>
      <c r="H39" s="8">
        <v>2.5499999999999998</v>
      </c>
      <c r="I39" s="12">
        <v>0</v>
      </c>
    </row>
    <row r="40" spans="2:9" ht="15" customHeight="1" x14ac:dyDescent="0.2">
      <c r="B40" t="s">
        <v>130</v>
      </c>
      <c r="C40" s="12">
        <v>10</v>
      </c>
      <c r="D40" s="8">
        <v>1.4</v>
      </c>
      <c r="E40" s="12">
        <v>5</v>
      </c>
      <c r="F40" s="8">
        <v>1.1100000000000001</v>
      </c>
      <c r="G40" s="12">
        <v>5</v>
      </c>
      <c r="H40" s="8">
        <v>2.13</v>
      </c>
      <c r="I40" s="12">
        <v>0</v>
      </c>
    </row>
    <row r="41" spans="2:9" ht="15" customHeight="1" x14ac:dyDescent="0.2">
      <c r="B41" t="s">
        <v>131</v>
      </c>
      <c r="C41" s="12">
        <v>10</v>
      </c>
      <c r="D41" s="8">
        <v>1.4</v>
      </c>
      <c r="E41" s="12">
        <v>9</v>
      </c>
      <c r="F41" s="8">
        <v>1.99</v>
      </c>
      <c r="G41" s="12">
        <v>1</v>
      </c>
      <c r="H41" s="8">
        <v>0.43</v>
      </c>
      <c r="I41" s="12">
        <v>0</v>
      </c>
    </row>
    <row r="42" spans="2:9" ht="15" customHeight="1" x14ac:dyDescent="0.2">
      <c r="B42" t="s">
        <v>121</v>
      </c>
      <c r="C42" s="12">
        <v>10</v>
      </c>
      <c r="D42" s="8">
        <v>1.4</v>
      </c>
      <c r="E42" s="12">
        <v>8</v>
      </c>
      <c r="F42" s="8">
        <v>1.77</v>
      </c>
      <c r="G42" s="12">
        <v>2</v>
      </c>
      <c r="H42" s="8">
        <v>0.85</v>
      </c>
      <c r="I42" s="12">
        <v>0</v>
      </c>
    </row>
    <row r="43" spans="2:9" ht="15" customHeight="1" x14ac:dyDescent="0.2">
      <c r="B43" t="s">
        <v>101</v>
      </c>
      <c r="C43" s="12">
        <v>9</v>
      </c>
      <c r="D43" s="8">
        <v>1.26</v>
      </c>
      <c r="E43" s="12">
        <v>5</v>
      </c>
      <c r="F43" s="8">
        <v>1.1100000000000001</v>
      </c>
      <c r="G43" s="12">
        <v>4</v>
      </c>
      <c r="H43" s="8">
        <v>1.7</v>
      </c>
      <c r="I43" s="12">
        <v>0</v>
      </c>
    </row>
    <row r="44" spans="2:9" ht="15" customHeight="1" x14ac:dyDescent="0.2">
      <c r="B44" t="s">
        <v>110</v>
      </c>
      <c r="C44" s="12">
        <v>9</v>
      </c>
      <c r="D44" s="8">
        <v>1.26</v>
      </c>
      <c r="E44" s="12">
        <v>6</v>
      </c>
      <c r="F44" s="8">
        <v>1.33</v>
      </c>
      <c r="G44" s="12">
        <v>3</v>
      </c>
      <c r="H44" s="8">
        <v>1.28</v>
      </c>
      <c r="I44" s="12">
        <v>0</v>
      </c>
    </row>
    <row r="47" spans="2:9" ht="33" customHeight="1" x14ac:dyDescent="0.2">
      <c r="B47" t="s">
        <v>287</v>
      </c>
      <c r="C47" s="10" t="s">
        <v>91</v>
      </c>
      <c r="D47" s="10" t="s">
        <v>92</v>
      </c>
      <c r="E47" s="10" t="s">
        <v>93</v>
      </c>
      <c r="F47" s="10" t="s">
        <v>94</v>
      </c>
      <c r="G47" s="10" t="s">
        <v>95</v>
      </c>
      <c r="H47" s="10" t="s">
        <v>96</v>
      </c>
      <c r="I47" s="10" t="s">
        <v>97</v>
      </c>
    </row>
    <row r="48" spans="2:9" ht="15" customHeight="1" x14ac:dyDescent="0.2">
      <c r="B48" t="s">
        <v>170</v>
      </c>
      <c r="C48" s="12">
        <v>55</v>
      </c>
      <c r="D48" s="8">
        <v>7.69</v>
      </c>
      <c r="E48" s="12">
        <v>53</v>
      </c>
      <c r="F48" s="8">
        <v>11.73</v>
      </c>
      <c r="G48" s="12">
        <v>2</v>
      </c>
      <c r="H48" s="8">
        <v>0.85</v>
      </c>
      <c r="I48" s="12">
        <v>0</v>
      </c>
    </row>
    <row r="49" spans="2:9" ht="15" customHeight="1" x14ac:dyDescent="0.2">
      <c r="B49" t="s">
        <v>154</v>
      </c>
      <c r="C49" s="12">
        <v>34</v>
      </c>
      <c r="D49" s="8">
        <v>4.76</v>
      </c>
      <c r="E49" s="12">
        <v>9</v>
      </c>
      <c r="F49" s="8">
        <v>1.99</v>
      </c>
      <c r="G49" s="12">
        <v>25</v>
      </c>
      <c r="H49" s="8">
        <v>10.64</v>
      </c>
      <c r="I49" s="12">
        <v>0</v>
      </c>
    </row>
    <row r="50" spans="2:9" ht="15" customHeight="1" x14ac:dyDescent="0.2">
      <c r="B50" t="s">
        <v>169</v>
      </c>
      <c r="C50" s="12">
        <v>32</v>
      </c>
      <c r="D50" s="8">
        <v>4.4800000000000004</v>
      </c>
      <c r="E50" s="12">
        <v>32</v>
      </c>
      <c r="F50" s="8">
        <v>7.08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173</v>
      </c>
      <c r="C51" s="12">
        <v>22</v>
      </c>
      <c r="D51" s="8">
        <v>3.08</v>
      </c>
      <c r="E51" s="12">
        <v>19</v>
      </c>
      <c r="F51" s="8">
        <v>4.2</v>
      </c>
      <c r="G51" s="12">
        <v>3</v>
      </c>
      <c r="H51" s="8">
        <v>1.28</v>
      </c>
      <c r="I51" s="12">
        <v>0</v>
      </c>
    </row>
    <row r="52" spans="2:9" ht="15" customHeight="1" x14ac:dyDescent="0.2">
      <c r="B52" t="s">
        <v>160</v>
      </c>
      <c r="C52" s="12">
        <v>21</v>
      </c>
      <c r="D52" s="8">
        <v>2.94</v>
      </c>
      <c r="E52" s="12">
        <v>10</v>
      </c>
      <c r="F52" s="8">
        <v>2.21</v>
      </c>
      <c r="G52" s="12">
        <v>11</v>
      </c>
      <c r="H52" s="8">
        <v>4.68</v>
      </c>
      <c r="I52" s="12">
        <v>0</v>
      </c>
    </row>
    <row r="53" spans="2:9" ht="15" customHeight="1" x14ac:dyDescent="0.2">
      <c r="B53" t="s">
        <v>159</v>
      </c>
      <c r="C53" s="12">
        <v>19</v>
      </c>
      <c r="D53" s="8">
        <v>2.66</v>
      </c>
      <c r="E53" s="12">
        <v>17</v>
      </c>
      <c r="F53" s="8">
        <v>3.76</v>
      </c>
      <c r="G53" s="12">
        <v>2</v>
      </c>
      <c r="H53" s="8">
        <v>0.85</v>
      </c>
      <c r="I53" s="12">
        <v>0</v>
      </c>
    </row>
    <row r="54" spans="2:9" ht="15" customHeight="1" x14ac:dyDescent="0.2">
      <c r="B54" t="s">
        <v>167</v>
      </c>
      <c r="C54" s="12">
        <v>19</v>
      </c>
      <c r="D54" s="8">
        <v>2.66</v>
      </c>
      <c r="E54" s="12">
        <v>19</v>
      </c>
      <c r="F54" s="8">
        <v>4.2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186</v>
      </c>
      <c r="C55" s="12">
        <v>18</v>
      </c>
      <c r="D55" s="8">
        <v>2.52</v>
      </c>
      <c r="E55" s="12">
        <v>10</v>
      </c>
      <c r="F55" s="8">
        <v>2.21</v>
      </c>
      <c r="G55" s="12">
        <v>8</v>
      </c>
      <c r="H55" s="8">
        <v>3.4</v>
      </c>
      <c r="I55" s="12">
        <v>0</v>
      </c>
    </row>
    <row r="56" spans="2:9" ht="15" customHeight="1" x14ac:dyDescent="0.2">
      <c r="B56" t="s">
        <v>158</v>
      </c>
      <c r="C56" s="12">
        <v>18</v>
      </c>
      <c r="D56" s="8">
        <v>2.52</v>
      </c>
      <c r="E56" s="12">
        <v>12</v>
      </c>
      <c r="F56" s="8">
        <v>2.65</v>
      </c>
      <c r="G56" s="12">
        <v>6</v>
      </c>
      <c r="H56" s="8">
        <v>2.5499999999999998</v>
      </c>
      <c r="I56" s="12">
        <v>0</v>
      </c>
    </row>
    <row r="57" spans="2:9" ht="15" customHeight="1" x14ac:dyDescent="0.2">
      <c r="B57" t="s">
        <v>172</v>
      </c>
      <c r="C57" s="12">
        <v>18</v>
      </c>
      <c r="D57" s="8">
        <v>2.52</v>
      </c>
      <c r="E57" s="12">
        <v>18</v>
      </c>
      <c r="F57" s="8">
        <v>3.98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161</v>
      </c>
      <c r="C58" s="12">
        <v>15</v>
      </c>
      <c r="D58" s="8">
        <v>2.1</v>
      </c>
      <c r="E58" s="12">
        <v>11</v>
      </c>
      <c r="F58" s="8">
        <v>2.4300000000000002</v>
      </c>
      <c r="G58" s="12">
        <v>4</v>
      </c>
      <c r="H58" s="8">
        <v>1.7</v>
      </c>
      <c r="I58" s="12">
        <v>0</v>
      </c>
    </row>
    <row r="59" spans="2:9" ht="15" customHeight="1" x14ac:dyDescent="0.2">
      <c r="B59" t="s">
        <v>166</v>
      </c>
      <c r="C59" s="12">
        <v>14</v>
      </c>
      <c r="D59" s="8">
        <v>1.96</v>
      </c>
      <c r="E59" s="12">
        <v>13</v>
      </c>
      <c r="F59" s="8">
        <v>2.88</v>
      </c>
      <c r="G59" s="12">
        <v>1</v>
      </c>
      <c r="H59" s="8">
        <v>0.43</v>
      </c>
      <c r="I59" s="12">
        <v>0</v>
      </c>
    </row>
    <row r="60" spans="2:9" ht="15" customHeight="1" x14ac:dyDescent="0.2">
      <c r="B60" t="s">
        <v>205</v>
      </c>
      <c r="C60" s="12">
        <v>13</v>
      </c>
      <c r="D60" s="8">
        <v>1.82</v>
      </c>
      <c r="E60" s="12">
        <v>7</v>
      </c>
      <c r="F60" s="8">
        <v>1.55</v>
      </c>
      <c r="G60" s="12">
        <v>6</v>
      </c>
      <c r="H60" s="8">
        <v>2.5499999999999998</v>
      </c>
      <c r="I60" s="12">
        <v>0</v>
      </c>
    </row>
    <row r="61" spans="2:9" ht="15" customHeight="1" x14ac:dyDescent="0.2">
      <c r="B61" t="s">
        <v>155</v>
      </c>
      <c r="C61" s="12">
        <v>12</v>
      </c>
      <c r="D61" s="8">
        <v>1.68</v>
      </c>
      <c r="E61" s="12">
        <v>3</v>
      </c>
      <c r="F61" s="8">
        <v>0.66</v>
      </c>
      <c r="G61" s="12">
        <v>9</v>
      </c>
      <c r="H61" s="8">
        <v>3.83</v>
      </c>
      <c r="I61" s="12">
        <v>0</v>
      </c>
    </row>
    <row r="62" spans="2:9" ht="15" customHeight="1" x14ac:dyDescent="0.2">
      <c r="B62" t="s">
        <v>226</v>
      </c>
      <c r="C62" s="12">
        <v>12</v>
      </c>
      <c r="D62" s="8">
        <v>1.68</v>
      </c>
      <c r="E62" s="12">
        <v>0</v>
      </c>
      <c r="F62" s="8">
        <v>0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181</v>
      </c>
      <c r="C63" s="12">
        <v>11</v>
      </c>
      <c r="D63" s="8">
        <v>1.54</v>
      </c>
      <c r="E63" s="12">
        <v>10</v>
      </c>
      <c r="F63" s="8">
        <v>2.21</v>
      </c>
      <c r="G63" s="12">
        <v>1</v>
      </c>
      <c r="H63" s="8">
        <v>0.43</v>
      </c>
      <c r="I63" s="12">
        <v>0</v>
      </c>
    </row>
    <row r="64" spans="2:9" ht="15" customHeight="1" x14ac:dyDescent="0.2">
      <c r="B64" t="s">
        <v>164</v>
      </c>
      <c r="C64" s="12">
        <v>11</v>
      </c>
      <c r="D64" s="8">
        <v>1.54</v>
      </c>
      <c r="E64" s="12">
        <v>4</v>
      </c>
      <c r="F64" s="8">
        <v>0.88</v>
      </c>
      <c r="G64" s="12">
        <v>7</v>
      </c>
      <c r="H64" s="8">
        <v>2.98</v>
      </c>
      <c r="I64" s="12">
        <v>0</v>
      </c>
    </row>
    <row r="65" spans="2:9" ht="15" customHeight="1" x14ac:dyDescent="0.2">
      <c r="B65" t="s">
        <v>182</v>
      </c>
      <c r="C65" s="12">
        <v>11</v>
      </c>
      <c r="D65" s="8">
        <v>1.54</v>
      </c>
      <c r="E65" s="12">
        <v>7</v>
      </c>
      <c r="F65" s="8">
        <v>1.55</v>
      </c>
      <c r="G65" s="12">
        <v>4</v>
      </c>
      <c r="H65" s="8">
        <v>1.7</v>
      </c>
      <c r="I65" s="12">
        <v>0</v>
      </c>
    </row>
    <row r="66" spans="2:9" ht="15" customHeight="1" x14ac:dyDescent="0.2">
      <c r="B66" t="s">
        <v>204</v>
      </c>
      <c r="C66" s="12">
        <v>11</v>
      </c>
      <c r="D66" s="8">
        <v>1.54</v>
      </c>
      <c r="E66" s="12">
        <v>0</v>
      </c>
      <c r="F66" s="8">
        <v>0</v>
      </c>
      <c r="G66" s="12">
        <v>11</v>
      </c>
      <c r="H66" s="8">
        <v>4.68</v>
      </c>
      <c r="I66" s="12">
        <v>0</v>
      </c>
    </row>
    <row r="67" spans="2:9" ht="15" customHeight="1" x14ac:dyDescent="0.2">
      <c r="B67" t="s">
        <v>208</v>
      </c>
      <c r="C67" s="12">
        <v>10</v>
      </c>
      <c r="D67" s="8">
        <v>1.4</v>
      </c>
      <c r="E67" s="12">
        <v>8</v>
      </c>
      <c r="F67" s="8">
        <v>1.77</v>
      </c>
      <c r="G67" s="12">
        <v>2</v>
      </c>
      <c r="H67" s="8">
        <v>0.85</v>
      </c>
      <c r="I67" s="12">
        <v>0</v>
      </c>
    </row>
    <row r="68" spans="2:9" ht="15" customHeight="1" x14ac:dyDescent="0.2">
      <c r="B68" t="s">
        <v>168</v>
      </c>
      <c r="C68" s="12">
        <v>10</v>
      </c>
      <c r="D68" s="8">
        <v>1.4</v>
      </c>
      <c r="E68" s="12">
        <v>10</v>
      </c>
      <c r="F68" s="8">
        <v>2.21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183</v>
      </c>
      <c r="C69" s="12">
        <v>10</v>
      </c>
      <c r="D69" s="8">
        <v>1.4</v>
      </c>
      <c r="E69" s="12">
        <v>9</v>
      </c>
      <c r="F69" s="8">
        <v>1.99</v>
      </c>
      <c r="G69" s="12">
        <v>1</v>
      </c>
      <c r="H69" s="8">
        <v>0.43</v>
      </c>
      <c r="I69" s="12">
        <v>0</v>
      </c>
    </row>
    <row r="71" spans="2:9" ht="15" customHeight="1" x14ac:dyDescent="0.2">
      <c r="B71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F472F-0FDD-41B9-AF21-AA664DD9CDB0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328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1</v>
      </c>
      <c r="D5" s="8">
        <v>0.08</v>
      </c>
      <c r="E5" s="12">
        <v>0</v>
      </c>
      <c r="F5" s="8">
        <v>0</v>
      </c>
      <c r="G5" s="12">
        <v>1</v>
      </c>
      <c r="H5" s="8">
        <v>0.18</v>
      </c>
      <c r="I5" s="12">
        <v>0</v>
      </c>
    </row>
    <row r="6" spans="2:9" ht="15" customHeight="1" x14ac:dyDescent="0.2">
      <c r="B6" t="s">
        <v>76</v>
      </c>
      <c r="C6" s="12">
        <v>208</v>
      </c>
      <c r="D6" s="8">
        <v>15.71</v>
      </c>
      <c r="E6" s="12">
        <v>85</v>
      </c>
      <c r="F6" s="8">
        <v>11.18</v>
      </c>
      <c r="G6" s="12">
        <v>123</v>
      </c>
      <c r="H6" s="8">
        <v>22.24</v>
      </c>
      <c r="I6" s="12">
        <v>0</v>
      </c>
    </row>
    <row r="7" spans="2:9" ht="15" customHeight="1" x14ac:dyDescent="0.2">
      <c r="B7" t="s">
        <v>77</v>
      </c>
      <c r="C7" s="12">
        <v>119</v>
      </c>
      <c r="D7" s="8">
        <v>8.99</v>
      </c>
      <c r="E7" s="12">
        <v>53</v>
      </c>
      <c r="F7" s="8">
        <v>6.97</v>
      </c>
      <c r="G7" s="12">
        <v>66</v>
      </c>
      <c r="H7" s="8">
        <v>11.93</v>
      </c>
      <c r="I7" s="12">
        <v>0</v>
      </c>
    </row>
    <row r="8" spans="2:9" ht="15" customHeight="1" x14ac:dyDescent="0.2">
      <c r="B8" t="s">
        <v>78</v>
      </c>
      <c r="C8" s="12">
        <v>5</v>
      </c>
      <c r="D8" s="8">
        <v>0.38</v>
      </c>
      <c r="E8" s="12">
        <v>0</v>
      </c>
      <c r="F8" s="8">
        <v>0</v>
      </c>
      <c r="G8" s="12">
        <v>3</v>
      </c>
      <c r="H8" s="8">
        <v>0.54</v>
      </c>
      <c r="I8" s="12">
        <v>0</v>
      </c>
    </row>
    <row r="9" spans="2:9" ht="15" customHeight="1" x14ac:dyDescent="0.2">
      <c r="B9" t="s">
        <v>79</v>
      </c>
      <c r="C9" s="12">
        <v>6</v>
      </c>
      <c r="D9" s="8">
        <v>0.45</v>
      </c>
      <c r="E9" s="12">
        <v>1</v>
      </c>
      <c r="F9" s="8">
        <v>0.13</v>
      </c>
      <c r="G9" s="12">
        <v>5</v>
      </c>
      <c r="H9" s="8">
        <v>0.9</v>
      </c>
      <c r="I9" s="12">
        <v>0</v>
      </c>
    </row>
    <row r="10" spans="2:9" ht="15" customHeight="1" x14ac:dyDescent="0.2">
      <c r="B10" t="s">
        <v>80</v>
      </c>
      <c r="C10" s="12">
        <v>9</v>
      </c>
      <c r="D10" s="8">
        <v>0.68</v>
      </c>
      <c r="E10" s="12">
        <v>1</v>
      </c>
      <c r="F10" s="8">
        <v>0.13</v>
      </c>
      <c r="G10" s="12">
        <v>8</v>
      </c>
      <c r="H10" s="8">
        <v>1.45</v>
      </c>
      <c r="I10" s="12">
        <v>0</v>
      </c>
    </row>
    <row r="11" spans="2:9" ht="15" customHeight="1" x14ac:dyDescent="0.2">
      <c r="B11" t="s">
        <v>81</v>
      </c>
      <c r="C11" s="12">
        <v>396</v>
      </c>
      <c r="D11" s="8">
        <v>29.91</v>
      </c>
      <c r="E11" s="12">
        <v>217</v>
      </c>
      <c r="F11" s="8">
        <v>28.55</v>
      </c>
      <c r="G11" s="12">
        <v>179</v>
      </c>
      <c r="H11" s="8">
        <v>32.369999999999997</v>
      </c>
      <c r="I11" s="12">
        <v>0</v>
      </c>
    </row>
    <row r="12" spans="2:9" ht="15" customHeight="1" x14ac:dyDescent="0.2">
      <c r="B12" t="s">
        <v>82</v>
      </c>
      <c r="C12" s="12">
        <v>6</v>
      </c>
      <c r="D12" s="8">
        <v>0.45</v>
      </c>
      <c r="E12" s="12">
        <v>1</v>
      </c>
      <c r="F12" s="8">
        <v>0.13</v>
      </c>
      <c r="G12" s="12">
        <v>5</v>
      </c>
      <c r="H12" s="8">
        <v>0.9</v>
      </c>
      <c r="I12" s="12">
        <v>0</v>
      </c>
    </row>
    <row r="13" spans="2:9" ht="15" customHeight="1" x14ac:dyDescent="0.2">
      <c r="B13" t="s">
        <v>83</v>
      </c>
      <c r="C13" s="12">
        <v>74</v>
      </c>
      <c r="D13" s="8">
        <v>5.59</v>
      </c>
      <c r="E13" s="12">
        <v>26</v>
      </c>
      <c r="F13" s="8">
        <v>3.42</v>
      </c>
      <c r="G13" s="12">
        <v>48</v>
      </c>
      <c r="H13" s="8">
        <v>8.68</v>
      </c>
      <c r="I13" s="12">
        <v>0</v>
      </c>
    </row>
    <row r="14" spans="2:9" ht="15" customHeight="1" x14ac:dyDescent="0.2">
      <c r="B14" t="s">
        <v>84</v>
      </c>
      <c r="C14" s="12">
        <v>58</v>
      </c>
      <c r="D14" s="8">
        <v>4.38</v>
      </c>
      <c r="E14" s="12">
        <v>33</v>
      </c>
      <c r="F14" s="8">
        <v>4.34</v>
      </c>
      <c r="G14" s="12">
        <v>24</v>
      </c>
      <c r="H14" s="8">
        <v>4.34</v>
      </c>
      <c r="I14" s="12">
        <v>1</v>
      </c>
    </row>
    <row r="15" spans="2:9" ht="15" customHeight="1" x14ac:dyDescent="0.2">
      <c r="B15" t="s">
        <v>85</v>
      </c>
      <c r="C15" s="12">
        <v>150</v>
      </c>
      <c r="D15" s="8">
        <v>11.33</v>
      </c>
      <c r="E15" s="12">
        <v>132</v>
      </c>
      <c r="F15" s="8">
        <v>17.37</v>
      </c>
      <c r="G15" s="12">
        <v>17</v>
      </c>
      <c r="H15" s="8">
        <v>3.07</v>
      </c>
      <c r="I15" s="12">
        <v>1</v>
      </c>
    </row>
    <row r="16" spans="2:9" ht="15" customHeight="1" x14ac:dyDescent="0.2">
      <c r="B16" t="s">
        <v>86</v>
      </c>
      <c r="C16" s="12">
        <v>160</v>
      </c>
      <c r="D16" s="8">
        <v>12.08</v>
      </c>
      <c r="E16" s="12">
        <v>133</v>
      </c>
      <c r="F16" s="8">
        <v>17.5</v>
      </c>
      <c r="G16" s="12">
        <v>27</v>
      </c>
      <c r="H16" s="8">
        <v>4.88</v>
      </c>
      <c r="I16" s="12">
        <v>0</v>
      </c>
    </row>
    <row r="17" spans="2:9" ht="15" customHeight="1" x14ac:dyDescent="0.2">
      <c r="B17" t="s">
        <v>87</v>
      </c>
      <c r="C17" s="12">
        <v>23</v>
      </c>
      <c r="D17" s="8">
        <v>1.74</v>
      </c>
      <c r="E17" s="12">
        <v>16</v>
      </c>
      <c r="F17" s="8">
        <v>2.11</v>
      </c>
      <c r="G17" s="12">
        <v>6</v>
      </c>
      <c r="H17" s="8">
        <v>1.08</v>
      </c>
      <c r="I17" s="12">
        <v>0</v>
      </c>
    </row>
    <row r="18" spans="2:9" ht="15" customHeight="1" x14ac:dyDescent="0.2">
      <c r="B18" t="s">
        <v>88</v>
      </c>
      <c r="C18" s="12">
        <v>56</v>
      </c>
      <c r="D18" s="8">
        <v>4.2300000000000004</v>
      </c>
      <c r="E18" s="12">
        <v>35</v>
      </c>
      <c r="F18" s="8">
        <v>4.6100000000000003</v>
      </c>
      <c r="G18" s="12">
        <v>18</v>
      </c>
      <c r="H18" s="8">
        <v>3.25</v>
      </c>
      <c r="I18" s="12">
        <v>0</v>
      </c>
    </row>
    <row r="19" spans="2:9" ht="15" customHeight="1" x14ac:dyDescent="0.2">
      <c r="B19" t="s">
        <v>89</v>
      </c>
      <c r="C19" s="12">
        <v>53</v>
      </c>
      <c r="D19" s="8">
        <v>4</v>
      </c>
      <c r="E19" s="12">
        <v>27</v>
      </c>
      <c r="F19" s="8">
        <v>3.55</v>
      </c>
      <c r="G19" s="12">
        <v>23</v>
      </c>
      <c r="H19" s="8">
        <v>4.16</v>
      </c>
      <c r="I19" s="12">
        <v>3</v>
      </c>
    </row>
    <row r="20" spans="2:9" ht="15" customHeight="1" x14ac:dyDescent="0.2">
      <c r="B20" s="9" t="s">
        <v>285</v>
      </c>
      <c r="C20" s="12">
        <f>SUM(LTBL_40228[総数／事業所数])</f>
        <v>1324</v>
      </c>
      <c r="E20" s="12">
        <f>SUBTOTAL(109,LTBL_40228[個人／事業所数])</f>
        <v>760</v>
      </c>
      <c r="G20" s="12">
        <f>SUBTOTAL(109,LTBL_40228[法人／事業所数])</f>
        <v>553</v>
      </c>
      <c r="I20" s="12">
        <f>SUBTOTAL(109,LTBL_40228[法人以外の団体／事業所数])</f>
        <v>5</v>
      </c>
    </row>
    <row r="21" spans="2:9" ht="15" customHeight="1" x14ac:dyDescent="0.2">
      <c r="E21" s="11">
        <f>LTBL_40228[[#Totals],[個人／事業所数]]/LTBL_40228[[#Totals],[総数／事業所数]]</f>
        <v>0.57401812688821752</v>
      </c>
      <c r="G21" s="11">
        <f>LTBL_40228[[#Totals],[法人／事業所数]]/LTBL_40228[[#Totals],[総数／事業所数]]</f>
        <v>0.41767371601208458</v>
      </c>
      <c r="I21" s="11">
        <f>LTBL_40228[[#Totals],[法人以外の団体／事業所数]]/LTBL_40228[[#Totals],[総数／事業所数]]</f>
        <v>3.7764350453172208E-3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138</v>
      </c>
      <c r="D24" s="8">
        <v>10.42</v>
      </c>
      <c r="E24" s="12">
        <v>121</v>
      </c>
      <c r="F24" s="8">
        <v>15.92</v>
      </c>
      <c r="G24" s="12">
        <v>17</v>
      </c>
      <c r="H24" s="8">
        <v>3.07</v>
      </c>
      <c r="I24" s="12">
        <v>0</v>
      </c>
    </row>
    <row r="25" spans="2:9" ht="15" customHeight="1" x14ac:dyDescent="0.2">
      <c r="B25" t="s">
        <v>107</v>
      </c>
      <c r="C25" s="12">
        <v>137</v>
      </c>
      <c r="D25" s="8">
        <v>10.35</v>
      </c>
      <c r="E25" s="12">
        <v>74</v>
      </c>
      <c r="F25" s="8">
        <v>9.74</v>
      </c>
      <c r="G25" s="12">
        <v>63</v>
      </c>
      <c r="H25" s="8">
        <v>11.39</v>
      </c>
      <c r="I25" s="12">
        <v>0</v>
      </c>
    </row>
    <row r="26" spans="2:9" ht="15" customHeight="1" x14ac:dyDescent="0.2">
      <c r="B26" t="s">
        <v>112</v>
      </c>
      <c r="C26" s="12">
        <v>135</v>
      </c>
      <c r="D26" s="8">
        <v>10.199999999999999</v>
      </c>
      <c r="E26" s="12">
        <v>122</v>
      </c>
      <c r="F26" s="8">
        <v>16.05</v>
      </c>
      <c r="G26" s="12">
        <v>13</v>
      </c>
      <c r="H26" s="8">
        <v>2.35</v>
      </c>
      <c r="I26" s="12">
        <v>0</v>
      </c>
    </row>
    <row r="27" spans="2:9" ht="15" customHeight="1" x14ac:dyDescent="0.2">
      <c r="B27" t="s">
        <v>98</v>
      </c>
      <c r="C27" s="12">
        <v>110</v>
      </c>
      <c r="D27" s="8">
        <v>8.31</v>
      </c>
      <c r="E27" s="12">
        <v>35</v>
      </c>
      <c r="F27" s="8">
        <v>4.6100000000000003</v>
      </c>
      <c r="G27" s="12">
        <v>75</v>
      </c>
      <c r="H27" s="8">
        <v>13.56</v>
      </c>
      <c r="I27" s="12">
        <v>0</v>
      </c>
    </row>
    <row r="28" spans="2:9" ht="15" customHeight="1" x14ac:dyDescent="0.2">
      <c r="B28" t="s">
        <v>105</v>
      </c>
      <c r="C28" s="12">
        <v>77</v>
      </c>
      <c r="D28" s="8">
        <v>5.82</v>
      </c>
      <c r="E28" s="12">
        <v>60</v>
      </c>
      <c r="F28" s="8">
        <v>7.89</v>
      </c>
      <c r="G28" s="12">
        <v>17</v>
      </c>
      <c r="H28" s="8">
        <v>3.07</v>
      </c>
      <c r="I28" s="12">
        <v>0</v>
      </c>
    </row>
    <row r="29" spans="2:9" ht="15" customHeight="1" x14ac:dyDescent="0.2">
      <c r="B29" t="s">
        <v>106</v>
      </c>
      <c r="C29" s="12">
        <v>63</v>
      </c>
      <c r="D29" s="8">
        <v>4.76</v>
      </c>
      <c r="E29" s="12">
        <v>44</v>
      </c>
      <c r="F29" s="8">
        <v>5.79</v>
      </c>
      <c r="G29" s="12">
        <v>19</v>
      </c>
      <c r="H29" s="8">
        <v>3.44</v>
      </c>
      <c r="I29" s="12">
        <v>0</v>
      </c>
    </row>
    <row r="30" spans="2:9" ht="15" customHeight="1" x14ac:dyDescent="0.2">
      <c r="B30" t="s">
        <v>99</v>
      </c>
      <c r="C30" s="12">
        <v>56</v>
      </c>
      <c r="D30" s="8">
        <v>4.2300000000000004</v>
      </c>
      <c r="E30" s="12">
        <v>28</v>
      </c>
      <c r="F30" s="8">
        <v>3.68</v>
      </c>
      <c r="G30" s="12">
        <v>28</v>
      </c>
      <c r="H30" s="8">
        <v>5.0599999999999996</v>
      </c>
      <c r="I30" s="12">
        <v>0</v>
      </c>
    </row>
    <row r="31" spans="2:9" ht="15" customHeight="1" x14ac:dyDescent="0.2">
      <c r="B31" t="s">
        <v>109</v>
      </c>
      <c r="C31" s="12">
        <v>52</v>
      </c>
      <c r="D31" s="8">
        <v>3.93</v>
      </c>
      <c r="E31" s="12">
        <v>21</v>
      </c>
      <c r="F31" s="8">
        <v>2.76</v>
      </c>
      <c r="G31" s="12">
        <v>31</v>
      </c>
      <c r="H31" s="8">
        <v>5.61</v>
      </c>
      <c r="I31" s="12">
        <v>0</v>
      </c>
    </row>
    <row r="32" spans="2:9" ht="15" customHeight="1" x14ac:dyDescent="0.2">
      <c r="B32" t="s">
        <v>100</v>
      </c>
      <c r="C32" s="12">
        <v>42</v>
      </c>
      <c r="D32" s="8">
        <v>3.17</v>
      </c>
      <c r="E32" s="12">
        <v>22</v>
      </c>
      <c r="F32" s="8">
        <v>2.89</v>
      </c>
      <c r="G32" s="12">
        <v>20</v>
      </c>
      <c r="H32" s="8">
        <v>3.62</v>
      </c>
      <c r="I32" s="12">
        <v>0</v>
      </c>
    </row>
    <row r="33" spans="2:9" ht="15" customHeight="1" x14ac:dyDescent="0.2">
      <c r="B33" t="s">
        <v>115</v>
      </c>
      <c r="C33" s="12">
        <v>41</v>
      </c>
      <c r="D33" s="8">
        <v>3.1</v>
      </c>
      <c r="E33" s="12">
        <v>34</v>
      </c>
      <c r="F33" s="8">
        <v>4.47</v>
      </c>
      <c r="G33" s="12">
        <v>7</v>
      </c>
      <c r="H33" s="8">
        <v>1.27</v>
      </c>
      <c r="I33" s="12">
        <v>0</v>
      </c>
    </row>
    <row r="34" spans="2:9" ht="15" customHeight="1" x14ac:dyDescent="0.2">
      <c r="B34" t="s">
        <v>104</v>
      </c>
      <c r="C34" s="12">
        <v>36</v>
      </c>
      <c r="D34" s="8">
        <v>2.72</v>
      </c>
      <c r="E34" s="12">
        <v>18</v>
      </c>
      <c r="F34" s="8">
        <v>2.37</v>
      </c>
      <c r="G34" s="12">
        <v>18</v>
      </c>
      <c r="H34" s="8">
        <v>3.25</v>
      </c>
      <c r="I34" s="12">
        <v>0</v>
      </c>
    </row>
    <row r="35" spans="2:9" ht="15" customHeight="1" x14ac:dyDescent="0.2">
      <c r="B35" t="s">
        <v>110</v>
      </c>
      <c r="C35" s="12">
        <v>33</v>
      </c>
      <c r="D35" s="8">
        <v>2.4900000000000002</v>
      </c>
      <c r="E35" s="12">
        <v>23</v>
      </c>
      <c r="F35" s="8">
        <v>3.03</v>
      </c>
      <c r="G35" s="12">
        <v>9</v>
      </c>
      <c r="H35" s="8">
        <v>1.63</v>
      </c>
      <c r="I35" s="12">
        <v>1</v>
      </c>
    </row>
    <row r="36" spans="2:9" ht="15" customHeight="1" x14ac:dyDescent="0.2">
      <c r="B36" t="s">
        <v>130</v>
      </c>
      <c r="C36" s="12">
        <v>29</v>
      </c>
      <c r="D36" s="8">
        <v>2.19</v>
      </c>
      <c r="E36" s="12">
        <v>12</v>
      </c>
      <c r="F36" s="8">
        <v>1.58</v>
      </c>
      <c r="G36" s="12">
        <v>17</v>
      </c>
      <c r="H36" s="8">
        <v>3.07</v>
      </c>
      <c r="I36" s="12">
        <v>0</v>
      </c>
    </row>
    <row r="37" spans="2:9" ht="15" customHeight="1" x14ac:dyDescent="0.2">
      <c r="B37" t="s">
        <v>123</v>
      </c>
      <c r="C37" s="12">
        <v>26</v>
      </c>
      <c r="D37" s="8">
        <v>1.96</v>
      </c>
      <c r="E37" s="12">
        <v>21</v>
      </c>
      <c r="F37" s="8">
        <v>2.76</v>
      </c>
      <c r="G37" s="12">
        <v>5</v>
      </c>
      <c r="H37" s="8">
        <v>0.9</v>
      </c>
      <c r="I37" s="12">
        <v>0</v>
      </c>
    </row>
    <row r="38" spans="2:9" ht="15" customHeight="1" x14ac:dyDescent="0.2">
      <c r="B38" t="s">
        <v>124</v>
      </c>
      <c r="C38" s="12">
        <v>23</v>
      </c>
      <c r="D38" s="8">
        <v>1.74</v>
      </c>
      <c r="E38" s="12">
        <v>9</v>
      </c>
      <c r="F38" s="8">
        <v>1.18</v>
      </c>
      <c r="G38" s="12">
        <v>14</v>
      </c>
      <c r="H38" s="8">
        <v>2.5299999999999998</v>
      </c>
      <c r="I38" s="12">
        <v>0</v>
      </c>
    </row>
    <row r="39" spans="2:9" ht="15" customHeight="1" x14ac:dyDescent="0.2">
      <c r="B39" t="s">
        <v>114</v>
      </c>
      <c r="C39" s="12">
        <v>23</v>
      </c>
      <c r="D39" s="8">
        <v>1.74</v>
      </c>
      <c r="E39" s="12">
        <v>16</v>
      </c>
      <c r="F39" s="8">
        <v>2.11</v>
      </c>
      <c r="G39" s="12">
        <v>6</v>
      </c>
      <c r="H39" s="8">
        <v>1.08</v>
      </c>
      <c r="I39" s="12">
        <v>0</v>
      </c>
    </row>
    <row r="40" spans="2:9" ht="15" customHeight="1" x14ac:dyDescent="0.2">
      <c r="B40" t="s">
        <v>111</v>
      </c>
      <c r="C40" s="12">
        <v>21</v>
      </c>
      <c r="D40" s="8">
        <v>1.59</v>
      </c>
      <c r="E40" s="12">
        <v>10</v>
      </c>
      <c r="F40" s="8">
        <v>1.32</v>
      </c>
      <c r="G40" s="12">
        <v>11</v>
      </c>
      <c r="H40" s="8">
        <v>1.99</v>
      </c>
      <c r="I40" s="12">
        <v>0</v>
      </c>
    </row>
    <row r="41" spans="2:9" ht="15" customHeight="1" x14ac:dyDescent="0.2">
      <c r="B41" t="s">
        <v>119</v>
      </c>
      <c r="C41" s="12">
        <v>20</v>
      </c>
      <c r="D41" s="8">
        <v>1.51</v>
      </c>
      <c r="E41" s="12">
        <v>7</v>
      </c>
      <c r="F41" s="8">
        <v>0.92</v>
      </c>
      <c r="G41" s="12">
        <v>13</v>
      </c>
      <c r="H41" s="8">
        <v>2.35</v>
      </c>
      <c r="I41" s="12">
        <v>0</v>
      </c>
    </row>
    <row r="42" spans="2:9" ht="15" customHeight="1" x14ac:dyDescent="0.2">
      <c r="B42" t="s">
        <v>118</v>
      </c>
      <c r="C42" s="12">
        <v>18</v>
      </c>
      <c r="D42" s="8">
        <v>1.36</v>
      </c>
      <c r="E42" s="12">
        <v>9</v>
      </c>
      <c r="F42" s="8">
        <v>1.18</v>
      </c>
      <c r="G42" s="12">
        <v>9</v>
      </c>
      <c r="H42" s="8">
        <v>1.63</v>
      </c>
      <c r="I42" s="12">
        <v>0</v>
      </c>
    </row>
    <row r="43" spans="2:9" ht="15" customHeight="1" x14ac:dyDescent="0.2">
      <c r="B43" t="s">
        <v>101</v>
      </c>
      <c r="C43" s="12">
        <v>16</v>
      </c>
      <c r="D43" s="8">
        <v>1.21</v>
      </c>
      <c r="E43" s="12">
        <v>5</v>
      </c>
      <c r="F43" s="8">
        <v>0.66</v>
      </c>
      <c r="G43" s="12">
        <v>11</v>
      </c>
      <c r="H43" s="8">
        <v>1.99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170</v>
      </c>
      <c r="C47" s="12">
        <v>61</v>
      </c>
      <c r="D47" s="8">
        <v>4.6100000000000003</v>
      </c>
      <c r="E47" s="12">
        <v>57</v>
      </c>
      <c r="F47" s="8">
        <v>7.5</v>
      </c>
      <c r="G47" s="12">
        <v>4</v>
      </c>
      <c r="H47" s="8">
        <v>0.72</v>
      </c>
      <c r="I47" s="12">
        <v>0</v>
      </c>
    </row>
    <row r="48" spans="2:9" ht="15" customHeight="1" x14ac:dyDescent="0.2">
      <c r="B48" t="s">
        <v>169</v>
      </c>
      <c r="C48" s="12">
        <v>51</v>
      </c>
      <c r="D48" s="8">
        <v>3.85</v>
      </c>
      <c r="E48" s="12">
        <v>49</v>
      </c>
      <c r="F48" s="8">
        <v>6.45</v>
      </c>
      <c r="G48" s="12">
        <v>2</v>
      </c>
      <c r="H48" s="8">
        <v>0.36</v>
      </c>
      <c r="I48" s="12">
        <v>0</v>
      </c>
    </row>
    <row r="49" spans="2:9" ht="15" customHeight="1" x14ac:dyDescent="0.2">
      <c r="B49" t="s">
        <v>154</v>
      </c>
      <c r="C49" s="12">
        <v>50</v>
      </c>
      <c r="D49" s="8">
        <v>3.78</v>
      </c>
      <c r="E49" s="12">
        <v>8</v>
      </c>
      <c r="F49" s="8">
        <v>1.05</v>
      </c>
      <c r="G49" s="12">
        <v>42</v>
      </c>
      <c r="H49" s="8">
        <v>7.59</v>
      </c>
      <c r="I49" s="12">
        <v>0</v>
      </c>
    </row>
    <row r="50" spans="2:9" ht="15" customHeight="1" x14ac:dyDescent="0.2">
      <c r="B50" t="s">
        <v>160</v>
      </c>
      <c r="C50" s="12">
        <v>37</v>
      </c>
      <c r="D50" s="8">
        <v>2.79</v>
      </c>
      <c r="E50" s="12">
        <v>12</v>
      </c>
      <c r="F50" s="8">
        <v>1.58</v>
      </c>
      <c r="G50" s="12">
        <v>25</v>
      </c>
      <c r="H50" s="8">
        <v>4.5199999999999996</v>
      </c>
      <c r="I50" s="12">
        <v>0</v>
      </c>
    </row>
    <row r="51" spans="2:9" ht="15" customHeight="1" x14ac:dyDescent="0.2">
      <c r="B51" t="s">
        <v>159</v>
      </c>
      <c r="C51" s="12">
        <v>35</v>
      </c>
      <c r="D51" s="8">
        <v>2.64</v>
      </c>
      <c r="E51" s="12">
        <v>25</v>
      </c>
      <c r="F51" s="8">
        <v>3.29</v>
      </c>
      <c r="G51" s="12">
        <v>10</v>
      </c>
      <c r="H51" s="8">
        <v>1.81</v>
      </c>
      <c r="I51" s="12">
        <v>0</v>
      </c>
    </row>
    <row r="52" spans="2:9" ht="15" customHeight="1" x14ac:dyDescent="0.2">
      <c r="B52" t="s">
        <v>161</v>
      </c>
      <c r="C52" s="12">
        <v>34</v>
      </c>
      <c r="D52" s="8">
        <v>2.57</v>
      </c>
      <c r="E52" s="12">
        <v>25</v>
      </c>
      <c r="F52" s="8">
        <v>3.29</v>
      </c>
      <c r="G52" s="12">
        <v>9</v>
      </c>
      <c r="H52" s="8">
        <v>1.63</v>
      </c>
      <c r="I52" s="12">
        <v>0</v>
      </c>
    </row>
    <row r="53" spans="2:9" ht="15" customHeight="1" x14ac:dyDescent="0.2">
      <c r="B53" t="s">
        <v>164</v>
      </c>
      <c r="C53" s="12">
        <v>34</v>
      </c>
      <c r="D53" s="8">
        <v>2.57</v>
      </c>
      <c r="E53" s="12">
        <v>16</v>
      </c>
      <c r="F53" s="8">
        <v>2.11</v>
      </c>
      <c r="G53" s="12">
        <v>18</v>
      </c>
      <c r="H53" s="8">
        <v>3.25</v>
      </c>
      <c r="I53" s="12">
        <v>0</v>
      </c>
    </row>
    <row r="54" spans="2:9" ht="15" customHeight="1" x14ac:dyDescent="0.2">
      <c r="B54" t="s">
        <v>168</v>
      </c>
      <c r="C54" s="12">
        <v>33</v>
      </c>
      <c r="D54" s="8">
        <v>2.4900000000000002</v>
      </c>
      <c r="E54" s="12">
        <v>33</v>
      </c>
      <c r="F54" s="8">
        <v>4.34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186</v>
      </c>
      <c r="C55" s="12">
        <v>31</v>
      </c>
      <c r="D55" s="8">
        <v>2.34</v>
      </c>
      <c r="E55" s="12">
        <v>18</v>
      </c>
      <c r="F55" s="8">
        <v>2.37</v>
      </c>
      <c r="G55" s="12">
        <v>13</v>
      </c>
      <c r="H55" s="8">
        <v>2.35</v>
      </c>
      <c r="I55" s="12">
        <v>0</v>
      </c>
    </row>
    <row r="56" spans="2:9" ht="15" customHeight="1" x14ac:dyDescent="0.2">
      <c r="B56" t="s">
        <v>166</v>
      </c>
      <c r="C56" s="12">
        <v>31</v>
      </c>
      <c r="D56" s="8">
        <v>2.34</v>
      </c>
      <c r="E56" s="12">
        <v>29</v>
      </c>
      <c r="F56" s="8">
        <v>3.82</v>
      </c>
      <c r="G56" s="12">
        <v>2</v>
      </c>
      <c r="H56" s="8">
        <v>0.36</v>
      </c>
      <c r="I56" s="12">
        <v>0</v>
      </c>
    </row>
    <row r="57" spans="2:9" ht="15" customHeight="1" x14ac:dyDescent="0.2">
      <c r="B57" t="s">
        <v>167</v>
      </c>
      <c r="C57" s="12">
        <v>29</v>
      </c>
      <c r="D57" s="8">
        <v>2.19</v>
      </c>
      <c r="E57" s="12">
        <v>29</v>
      </c>
      <c r="F57" s="8">
        <v>3.82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173</v>
      </c>
      <c r="C58" s="12">
        <v>26</v>
      </c>
      <c r="D58" s="8">
        <v>1.96</v>
      </c>
      <c r="E58" s="12">
        <v>21</v>
      </c>
      <c r="F58" s="8">
        <v>2.76</v>
      </c>
      <c r="G58" s="12">
        <v>5</v>
      </c>
      <c r="H58" s="8">
        <v>0.9</v>
      </c>
      <c r="I58" s="12">
        <v>0</v>
      </c>
    </row>
    <row r="59" spans="2:9" ht="15" customHeight="1" x14ac:dyDescent="0.2">
      <c r="B59" t="s">
        <v>177</v>
      </c>
      <c r="C59" s="12">
        <v>24</v>
      </c>
      <c r="D59" s="8">
        <v>1.81</v>
      </c>
      <c r="E59" s="12">
        <v>22</v>
      </c>
      <c r="F59" s="8">
        <v>2.89</v>
      </c>
      <c r="G59" s="12">
        <v>2</v>
      </c>
      <c r="H59" s="8">
        <v>0.36</v>
      </c>
      <c r="I59" s="12">
        <v>0</v>
      </c>
    </row>
    <row r="60" spans="2:9" ht="15" customHeight="1" x14ac:dyDescent="0.2">
      <c r="B60" t="s">
        <v>172</v>
      </c>
      <c r="C60" s="12">
        <v>23</v>
      </c>
      <c r="D60" s="8">
        <v>1.74</v>
      </c>
      <c r="E60" s="12">
        <v>19</v>
      </c>
      <c r="F60" s="8">
        <v>2.5</v>
      </c>
      <c r="G60" s="12">
        <v>4</v>
      </c>
      <c r="H60" s="8">
        <v>0.72</v>
      </c>
      <c r="I60" s="12">
        <v>0</v>
      </c>
    </row>
    <row r="61" spans="2:9" ht="15" customHeight="1" x14ac:dyDescent="0.2">
      <c r="B61" t="s">
        <v>156</v>
      </c>
      <c r="C61" s="12">
        <v>22</v>
      </c>
      <c r="D61" s="8">
        <v>1.66</v>
      </c>
      <c r="E61" s="12">
        <v>14</v>
      </c>
      <c r="F61" s="8">
        <v>1.84</v>
      </c>
      <c r="G61" s="12">
        <v>8</v>
      </c>
      <c r="H61" s="8">
        <v>1.45</v>
      </c>
      <c r="I61" s="12">
        <v>0</v>
      </c>
    </row>
    <row r="62" spans="2:9" ht="15" customHeight="1" x14ac:dyDescent="0.2">
      <c r="B62" t="s">
        <v>158</v>
      </c>
      <c r="C62" s="12">
        <v>22</v>
      </c>
      <c r="D62" s="8">
        <v>1.66</v>
      </c>
      <c r="E62" s="12">
        <v>17</v>
      </c>
      <c r="F62" s="8">
        <v>2.2400000000000002</v>
      </c>
      <c r="G62" s="12">
        <v>5</v>
      </c>
      <c r="H62" s="8">
        <v>0.9</v>
      </c>
      <c r="I62" s="12">
        <v>0</v>
      </c>
    </row>
    <row r="63" spans="2:9" ht="15" customHeight="1" x14ac:dyDescent="0.2">
      <c r="B63" t="s">
        <v>208</v>
      </c>
      <c r="C63" s="12">
        <v>21</v>
      </c>
      <c r="D63" s="8">
        <v>1.59</v>
      </c>
      <c r="E63" s="12">
        <v>13</v>
      </c>
      <c r="F63" s="8">
        <v>1.71</v>
      </c>
      <c r="G63" s="12">
        <v>8</v>
      </c>
      <c r="H63" s="8">
        <v>1.45</v>
      </c>
      <c r="I63" s="12">
        <v>0</v>
      </c>
    </row>
    <row r="64" spans="2:9" ht="15" customHeight="1" x14ac:dyDescent="0.2">
      <c r="B64" t="s">
        <v>155</v>
      </c>
      <c r="C64" s="12">
        <v>20</v>
      </c>
      <c r="D64" s="8">
        <v>1.51</v>
      </c>
      <c r="E64" s="12">
        <v>5</v>
      </c>
      <c r="F64" s="8">
        <v>0.66</v>
      </c>
      <c r="G64" s="12">
        <v>15</v>
      </c>
      <c r="H64" s="8">
        <v>2.71</v>
      </c>
      <c r="I64" s="12">
        <v>0</v>
      </c>
    </row>
    <row r="65" spans="2:9" ht="15" customHeight="1" x14ac:dyDescent="0.2">
      <c r="B65" t="s">
        <v>181</v>
      </c>
      <c r="C65" s="12">
        <v>18</v>
      </c>
      <c r="D65" s="8">
        <v>1.36</v>
      </c>
      <c r="E65" s="12">
        <v>15</v>
      </c>
      <c r="F65" s="8">
        <v>1.97</v>
      </c>
      <c r="G65" s="12">
        <v>3</v>
      </c>
      <c r="H65" s="8">
        <v>0.54</v>
      </c>
      <c r="I65" s="12">
        <v>0</v>
      </c>
    </row>
    <row r="66" spans="2:9" ht="15" customHeight="1" x14ac:dyDescent="0.2">
      <c r="B66" t="s">
        <v>203</v>
      </c>
      <c r="C66" s="12">
        <v>17</v>
      </c>
      <c r="D66" s="8">
        <v>1.28</v>
      </c>
      <c r="E66" s="12">
        <v>8</v>
      </c>
      <c r="F66" s="8">
        <v>1.05</v>
      </c>
      <c r="G66" s="12">
        <v>9</v>
      </c>
      <c r="H66" s="8">
        <v>1.63</v>
      </c>
      <c r="I66" s="12">
        <v>0</v>
      </c>
    </row>
    <row r="67" spans="2:9" ht="15" customHeight="1" x14ac:dyDescent="0.2">
      <c r="B67" t="s">
        <v>157</v>
      </c>
      <c r="C67" s="12">
        <v>17</v>
      </c>
      <c r="D67" s="8">
        <v>1.28</v>
      </c>
      <c r="E67" s="12">
        <v>9</v>
      </c>
      <c r="F67" s="8">
        <v>1.18</v>
      </c>
      <c r="G67" s="12">
        <v>8</v>
      </c>
      <c r="H67" s="8">
        <v>1.45</v>
      </c>
      <c r="I67" s="12">
        <v>0</v>
      </c>
    </row>
    <row r="68" spans="2:9" ht="15" customHeight="1" x14ac:dyDescent="0.2">
      <c r="B68" t="s">
        <v>205</v>
      </c>
      <c r="C68" s="12">
        <v>17</v>
      </c>
      <c r="D68" s="8">
        <v>1.28</v>
      </c>
      <c r="E68" s="12">
        <v>5</v>
      </c>
      <c r="F68" s="8">
        <v>0.66</v>
      </c>
      <c r="G68" s="12">
        <v>12</v>
      </c>
      <c r="H68" s="8">
        <v>2.17</v>
      </c>
      <c r="I68" s="12">
        <v>0</v>
      </c>
    </row>
    <row r="69" spans="2:9" ht="15" customHeight="1" x14ac:dyDescent="0.2">
      <c r="B69" t="s">
        <v>165</v>
      </c>
      <c r="C69" s="12">
        <v>17</v>
      </c>
      <c r="D69" s="8">
        <v>1.28</v>
      </c>
      <c r="E69" s="12">
        <v>7</v>
      </c>
      <c r="F69" s="8">
        <v>0.92</v>
      </c>
      <c r="G69" s="12">
        <v>10</v>
      </c>
      <c r="H69" s="8">
        <v>1.81</v>
      </c>
      <c r="I69" s="12">
        <v>0</v>
      </c>
    </row>
    <row r="70" spans="2:9" ht="15" customHeight="1" x14ac:dyDescent="0.2">
      <c r="B70" t="s">
        <v>182</v>
      </c>
      <c r="C70" s="12">
        <v>17</v>
      </c>
      <c r="D70" s="8">
        <v>1.28</v>
      </c>
      <c r="E70" s="12">
        <v>9</v>
      </c>
      <c r="F70" s="8">
        <v>1.18</v>
      </c>
      <c r="G70" s="12">
        <v>8</v>
      </c>
      <c r="H70" s="8">
        <v>1.45</v>
      </c>
      <c r="I70" s="12">
        <v>0</v>
      </c>
    </row>
    <row r="72" spans="2:9" ht="15" customHeight="1" x14ac:dyDescent="0.2">
      <c r="B72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748F3-5496-45AB-89C2-4E2F123A61BA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329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178</v>
      </c>
      <c r="D6" s="8">
        <v>20.16</v>
      </c>
      <c r="E6" s="12">
        <v>102</v>
      </c>
      <c r="F6" s="8">
        <v>17.68</v>
      </c>
      <c r="G6" s="12">
        <v>76</v>
      </c>
      <c r="H6" s="8">
        <v>25.76</v>
      </c>
      <c r="I6" s="12">
        <v>0</v>
      </c>
    </row>
    <row r="7" spans="2:9" ht="15" customHeight="1" x14ac:dyDescent="0.2">
      <c r="B7" t="s">
        <v>77</v>
      </c>
      <c r="C7" s="12">
        <v>90</v>
      </c>
      <c r="D7" s="8">
        <v>10.19</v>
      </c>
      <c r="E7" s="12">
        <v>40</v>
      </c>
      <c r="F7" s="8">
        <v>6.93</v>
      </c>
      <c r="G7" s="12">
        <v>50</v>
      </c>
      <c r="H7" s="8">
        <v>16.95</v>
      </c>
      <c r="I7" s="12">
        <v>0</v>
      </c>
    </row>
    <row r="8" spans="2:9" ht="15" customHeight="1" x14ac:dyDescent="0.2">
      <c r="B8" t="s">
        <v>78</v>
      </c>
      <c r="C8" s="12">
        <v>2</v>
      </c>
      <c r="D8" s="8">
        <v>0.23</v>
      </c>
      <c r="E8" s="12">
        <v>0</v>
      </c>
      <c r="F8" s="8">
        <v>0</v>
      </c>
      <c r="G8" s="12">
        <v>2</v>
      </c>
      <c r="H8" s="8">
        <v>0.68</v>
      </c>
      <c r="I8" s="12">
        <v>0</v>
      </c>
    </row>
    <row r="9" spans="2:9" ht="15" customHeight="1" x14ac:dyDescent="0.2">
      <c r="B9" t="s">
        <v>79</v>
      </c>
      <c r="C9" s="12">
        <v>2</v>
      </c>
      <c r="D9" s="8">
        <v>0.23</v>
      </c>
      <c r="E9" s="12">
        <v>1</v>
      </c>
      <c r="F9" s="8">
        <v>0.17</v>
      </c>
      <c r="G9" s="12">
        <v>1</v>
      </c>
      <c r="H9" s="8">
        <v>0.34</v>
      </c>
      <c r="I9" s="12">
        <v>0</v>
      </c>
    </row>
    <row r="10" spans="2:9" ht="15" customHeight="1" x14ac:dyDescent="0.2">
      <c r="B10" t="s">
        <v>80</v>
      </c>
      <c r="C10" s="12">
        <v>4</v>
      </c>
      <c r="D10" s="8">
        <v>0.45</v>
      </c>
      <c r="E10" s="12">
        <v>3</v>
      </c>
      <c r="F10" s="8">
        <v>0.52</v>
      </c>
      <c r="G10" s="12">
        <v>1</v>
      </c>
      <c r="H10" s="8">
        <v>0.34</v>
      </c>
      <c r="I10" s="12">
        <v>0</v>
      </c>
    </row>
    <row r="11" spans="2:9" ht="15" customHeight="1" x14ac:dyDescent="0.2">
      <c r="B11" t="s">
        <v>81</v>
      </c>
      <c r="C11" s="12">
        <v>248</v>
      </c>
      <c r="D11" s="8">
        <v>28.09</v>
      </c>
      <c r="E11" s="12">
        <v>160</v>
      </c>
      <c r="F11" s="8">
        <v>27.73</v>
      </c>
      <c r="G11" s="12">
        <v>87</v>
      </c>
      <c r="H11" s="8">
        <v>29.49</v>
      </c>
      <c r="I11" s="12">
        <v>1</v>
      </c>
    </row>
    <row r="12" spans="2:9" ht="15" customHeight="1" x14ac:dyDescent="0.2">
      <c r="B12" t="s">
        <v>82</v>
      </c>
      <c r="C12" s="12">
        <v>5</v>
      </c>
      <c r="D12" s="8">
        <v>0.56999999999999995</v>
      </c>
      <c r="E12" s="12">
        <v>1</v>
      </c>
      <c r="F12" s="8">
        <v>0.17</v>
      </c>
      <c r="G12" s="12">
        <v>4</v>
      </c>
      <c r="H12" s="8">
        <v>1.36</v>
      </c>
      <c r="I12" s="12">
        <v>0</v>
      </c>
    </row>
    <row r="13" spans="2:9" ht="15" customHeight="1" x14ac:dyDescent="0.2">
      <c r="B13" t="s">
        <v>83</v>
      </c>
      <c r="C13" s="12">
        <v>49</v>
      </c>
      <c r="D13" s="8">
        <v>5.55</v>
      </c>
      <c r="E13" s="12">
        <v>23</v>
      </c>
      <c r="F13" s="8">
        <v>3.99</v>
      </c>
      <c r="G13" s="12">
        <v>26</v>
      </c>
      <c r="H13" s="8">
        <v>8.81</v>
      </c>
      <c r="I13" s="12">
        <v>0</v>
      </c>
    </row>
    <row r="14" spans="2:9" ht="15" customHeight="1" x14ac:dyDescent="0.2">
      <c r="B14" t="s">
        <v>84</v>
      </c>
      <c r="C14" s="12">
        <v>26</v>
      </c>
      <c r="D14" s="8">
        <v>2.94</v>
      </c>
      <c r="E14" s="12">
        <v>15</v>
      </c>
      <c r="F14" s="8">
        <v>2.6</v>
      </c>
      <c r="G14" s="12">
        <v>8</v>
      </c>
      <c r="H14" s="8">
        <v>2.71</v>
      </c>
      <c r="I14" s="12">
        <v>0</v>
      </c>
    </row>
    <row r="15" spans="2:9" ht="15" customHeight="1" x14ac:dyDescent="0.2">
      <c r="B15" t="s">
        <v>85</v>
      </c>
      <c r="C15" s="12">
        <v>54</v>
      </c>
      <c r="D15" s="8">
        <v>6.12</v>
      </c>
      <c r="E15" s="12">
        <v>51</v>
      </c>
      <c r="F15" s="8">
        <v>8.84</v>
      </c>
      <c r="G15" s="12">
        <v>3</v>
      </c>
      <c r="H15" s="8">
        <v>1.02</v>
      </c>
      <c r="I15" s="12">
        <v>0</v>
      </c>
    </row>
    <row r="16" spans="2:9" ht="15" customHeight="1" x14ac:dyDescent="0.2">
      <c r="B16" t="s">
        <v>86</v>
      </c>
      <c r="C16" s="12">
        <v>110</v>
      </c>
      <c r="D16" s="8">
        <v>12.46</v>
      </c>
      <c r="E16" s="12">
        <v>101</v>
      </c>
      <c r="F16" s="8">
        <v>17.5</v>
      </c>
      <c r="G16" s="12">
        <v>7</v>
      </c>
      <c r="H16" s="8">
        <v>2.37</v>
      </c>
      <c r="I16" s="12">
        <v>0</v>
      </c>
    </row>
    <row r="17" spans="2:9" ht="15" customHeight="1" x14ac:dyDescent="0.2">
      <c r="B17" t="s">
        <v>87</v>
      </c>
      <c r="C17" s="12">
        <v>28</v>
      </c>
      <c r="D17" s="8">
        <v>3.17</v>
      </c>
      <c r="E17" s="12">
        <v>22</v>
      </c>
      <c r="F17" s="8">
        <v>3.81</v>
      </c>
      <c r="G17" s="12">
        <v>3</v>
      </c>
      <c r="H17" s="8">
        <v>1.02</v>
      </c>
      <c r="I17" s="12">
        <v>0</v>
      </c>
    </row>
    <row r="18" spans="2:9" ht="15" customHeight="1" x14ac:dyDescent="0.2">
      <c r="B18" t="s">
        <v>88</v>
      </c>
      <c r="C18" s="12">
        <v>53</v>
      </c>
      <c r="D18" s="8">
        <v>6</v>
      </c>
      <c r="E18" s="12">
        <v>34</v>
      </c>
      <c r="F18" s="8">
        <v>5.89</v>
      </c>
      <c r="G18" s="12">
        <v>19</v>
      </c>
      <c r="H18" s="8">
        <v>6.44</v>
      </c>
      <c r="I18" s="12">
        <v>0</v>
      </c>
    </row>
    <row r="19" spans="2:9" ht="15" customHeight="1" x14ac:dyDescent="0.2">
      <c r="B19" t="s">
        <v>89</v>
      </c>
      <c r="C19" s="12">
        <v>34</v>
      </c>
      <c r="D19" s="8">
        <v>3.85</v>
      </c>
      <c r="E19" s="12">
        <v>24</v>
      </c>
      <c r="F19" s="8">
        <v>4.16</v>
      </c>
      <c r="G19" s="12">
        <v>8</v>
      </c>
      <c r="H19" s="8">
        <v>2.71</v>
      </c>
      <c r="I19" s="12">
        <v>1</v>
      </c>
    </row>
    <row r="20" spans="2:9" ht="15" customHeight="1" x14ac:dyDescent="0.2">
      <c r="B20" s="9" t="s">
        <v>285</v>
      </c>
      <c r="C20" s="12">
        <f>SUM(LTBL_40229[総数／事業所数])</f>
        <v>883</v>
      </c>
      <c r="E20" s="12">
        <f>SUBTOTAL(109,LTBL_40229[個人／事業所数])</f>
        <v>577</v>
      </c>
      <c r="G20" s="12">
        <f>SUBTOTAL(109,LTBL_40229[法人／事業所数])</f>
        <v>295</v>
      </c>
      <c r="I20" s="12">
        <f>SUBTOTAL(109,LTBL_40229[法人以外の団体／事業所数])</f>
        <v>2</v>
      </c>
    </row>
    <row r="21" spans="2:9" ht="15" customHeight="1" x14ac:dyDescent="0.2">
      <c r="E21" s="11">
        <f>LTBL_40229[[#Totals],[個人／事業所数]]/LTBL_40229[[#Totals],[総数／事業所数]]</f>
        <v>0.65345413363533411</v>
      </c>
      <c r="G21" s="11">
        <f>LTBL_40229[[#Totals],[法人／事業所数]]/LTBL_40229[[#Totals],[総数／事業所数]]</f>
        <v>0.33408833522083803</v>
      </c>
      <c r="I21" s="11">
        <f>LTBL_40229[[#Totals],[法人以外の団体／事業所数]]/LTBL_40229[[#Totals],[総数／事業所数]]</f>
        <v>2.2650056625141564E-3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98</v>
      </c>
      <c r="C24" s="12">
        <v>106</v>
      </c>
      <c r="D24" s="8">
        <v>12</v>
      </c>
      <c r="E24" s="12">
        <v>52</v>
      </c>
      <c r="F24" s="8">
        <v>9.01</v>
      </c>
      <c r="G24" s="12">
        <v>54</v>
      </c>
      <c r="H24" s="8">
        <v>18.309999999999999</v>
      </c>
      <c r="I24" s="12">
        <v>0</v>
      </c>
    </row>
    <row r="25" spans="2:9" ht="15" customHeight="1" x14ac:dyDescent="0.2">
      <c r="B25" t="s">
        <v>113</v>
      </c>
      <c r="C25" s="12">
        <v>98</v>
      </c>
      <c r="D25" s="8">
        <v>11.1</v>
      </c>
      <c r="E25" s="12">
        <v>94</v>
      </c>
      <c r="F25" s="8">
        <v>16.29</v>
      </c>
      <c r="G25" s="12">
        <v>4</v>
      </c>
      <c r="H25" s="8">
        <v>1.36</v>
      </c>
      <c r="I25" s="12">
        <v>0</v>
      </c>
    </row>
    <row r="26" spans="2:9" ht="15" customHeight="1" x14ac:dyDescent="0.2">
      <c r="B26" t="s">
        <v>107</v>
      </c>
      <c r="C26" s="12">
        <v>75</v>
      </c>
      <c r="D26" s="8">
        <v>8.49</v>
      </c>
      <c r="E26" s="12">
        <v>42</v>
      </c>
      <c r="F26" s="8">
        <v>7.28</v>
      </c>
      <c r="G26" s="12">
        <v>33</v>
      </c>
      <c r="H26" s="8">
        <v>11.19</v>
      </c>
      <c r="I26" s="12">
        <v>0</v>
      </c>
    </row>
    <row r="27" spans="2:9" ht="15" customHeight="1" x14ac:dyDescent="0.2">
      <c r="B27" t="s">
        <v>105</v>
      </c>
      <c r="C27" s="12">
        <v>64</v>
      </c>
      <c r="D27" s="8">
        <v>7.25</v>
      </c>
      <c r="E27" s="12">
        <v>58</v>
      </c>
      <c r="F27" s="8">
        <v>10.050000000000001</v>
      </c>
      <c r="G27" s="12">
        <v>5</v>
      </c>
      <c r="H27" s="8">
        <v>1.69</v>
      </c>
      <c r="I27" s="12">
        <v>1</v>
      </c>
    </row>
    <row r="28" spans="2:9" ht="15" customHeight="1" x14ac:dyDescent="0.2">
      <c r="B28" t="s">
        <v>112</v>
      </c>
      <c r="C28" s="12">
        <v>45</v>
      </c>
      <c r="D28" s="8">
        <v>5.0999999999999996</v>
      </c>
      <c r="E28" s="12">
        <v>44</v>
      </c>
      <c r="F28" s="8">
        <v>7.63</v>
      </c>
      <c r="G28" s="12">
        <v>1</v>
      </c>
      <c r="H28" s="8">
        <v>0.34</v>
      </c>
      <c r="I28" s="12">
        <v>0</v>
      </c>
    </row>
    <row r="29" spans="2:9" ht="15" customHeight="1" x14ac:dyDescent="0.2">
      <c r="B29" t="s">
        <v>99</v>
      </c>
      <c r="C29" s="12">
        <v>42</v>
      </c>
      <c r="D29" s="8">
        <v>4.76</v>
      </c>
      <c r="E29" s="12">
        <v>34</v>
      </c>
      <c r="F29" s="8">
        <v>5.89</v>
      </c>
      <c r="G29" s="12">
        <v>8</v>
      </c>
      <c r="H29" s="8">
        <v>2.71</v>
      </c>
      <c r="I29" s="12">
        <v>0</v>
      </c>
    </row>
    <row r="30" spans="2:9" ht="15" customHeight="1" x14ac:dyDescent="0.2">
      <c r="B30" t="s">
        <v>106</v>
      </c>
      <c r="C30" s="12">
        <v>39</v>
      </c>
      <c r="D30" s="8">
        <v>4.42</v>
      </c>
      <c r="E30" s="12">
        <v>30</v>
      </c>
      <c r="F30" s="8">
        <v>5.2</v>
      </c>
      <c r="G30" s="12">
        <v>9</v>
      </c>
      <c r="H30" s="8">
        <v>3.05</v>
      </c>
      <c r="I30" s="12">
        <v>0</v>
      </c>
    </row>
    <row r="31" spans="2:9" ht="15" customHeight="1" x14ac:dyDescent="0.2">
      <c r="B31" t="s">
        <v>109</v>
      </c>
      <c r="C31" s="12">
        <v>39</v>
      </c>
      <c r="D31" s="8">
        <v>4.42</v>
      </c>
      <c r="E31" s="12">
        <v>18</v>
      </c>
      <c r="F31" s="8">
        <v>3.12</v>
      </c>
      <c r="G31" s="12">
        <v>21</v>
      </c>
      <c r="H31" s="8">
        <v>7.12</v>
      </c>
      <c r="I31" s="12">
        <v>0</v>
      </c>
    </row>
    <row r="32" spans="2:9" ht="15" customHeight="1" x14ac:dyDescent="0.2">
      <c r="B32" t="s">
        <v>115</v>
      </c>
      <c r="C32" s="12">
        <v>35</v>
      </c>
      <c r="D32" s="8">
        <v>3.96</v>
      </c>
      <c r="E32" s="12">
        <v>34</v>
      </c>
      <c r="F32" s="8">
        <v>5.89</v>
      </c>
      <c r="G32" s="12">
        <v>1</v>
      </c>
      <c r="H32" s="8">
        <v>0.34</v>
      </c>
      <c r="I32" s="12">
        <v>0</v>
      </c>
    </row>
    <row r="33" spans="2:9" ht="15" customHeight="1" x14ac:dyDescent="0.2">
      <c r="B33" t="s">
        <v>100</v>
      </c>
      <c r="C33" s="12">
        <v>30</v>
      </c>
      <c r="D33" s="8">
        <v>3.4</v>
      </c>
      <c r="E33" s="12">
        <v>16</v>
      </c>
      <c r="F33" s="8">
        <v>2.77</v>
      </c>
      <c r="G33" s="12">
        <v>14</v>
      </c>
      <c r="H33" s="8">
        <v>4.75</v>
      </c>
      <c r="I33" s="12">
        <v>0</v>
      </c>
    </row>
    <row r="34" spans="2:9" ht="15" customHeight="1" x14ac:dyDescent="0.2">
      <c r="B34" t="s">
        <v>114</v>
      </c>
      <c r="C34" s="12">
        <v>28</v>
      </c>
      <c r="D34" s="8">
        <v>3.17</v>
      </c>
      <c r="E34" s="12">
        <v>22</v>
      </c>
      <c r="F34" s="8">
        <v>3.81</v>
      </c>
      <c r="G34" s="12">
        <v>3</v>
      </c>
      <c r="H34" s="8">
        <v>1.02</v>
      </c>
      <c r="I34" s="12">
        <v>0</v>
      </c>
    </row>
    <row r="35" spans="2:9" ht="15" customHeight="1" x14ac:dyDescent="0.2">
      <c r="B35" t="s">
        <v>104</v>
      </c>
      <c r="C35" s="12">
        <v>19</v>
      </c>
      <c r="D35" s="8">
        <v>2.15</v>
      </c>
      <c r="E35" s="12">
        <v>12</v>
      </c>
      <c r="F35" s="8">
        <v>2.08</v>
      </c>
      <c r="G35" s="12">
        <v>7</v>
      </c>
      <c r="H35" s="8">
        <v>2.37</v>
      </c>
      <c r="I35" s="12">
        <v>0</v>
      </c>
    </row>
    <row r="36" spans="2:9" ht="15" customHeight="1" x14ac:dyDescent="0.2">
      <c r="B36" t="s">
        <v>116</v>
      </c>
      <c r="C36" s="12">
        <v>18</v>
      </c>
      <c r="D36" s="8">
        <v>2.04</v>
      </c>
      <c r="E36" s="12">
        <v>0</v>
      </c>
      <c r="F36" s="8">
        <v>0</v>
      </c>
      <c r="G36" s="12">
        <v>18</v>
      </c>
      <c r="H36" s="8">
        <v>6.1</v>
      </c>
      <c r="I36" s="12">
        <v>0</v>
      </c>
    </row>
    <row r="37" spans="2:9" ht="15" customHeight="1" x14ac:dyDescent="0.2">
      <c r="B37" t="s">
        <v>123</v>
      </c>
      <c r="C37" s="12">
        <v>18</v>
      </c>
      <c r="D37" s="8">
        <v>2.04</v>
      </c>
      <c r="E37" s="12">
        <v>16</v>
      </c>
      <c r="F37" s="8">
        <v>2.77</v>
      </c>
      <c r="G37" s="12">
        <v>2</v>
      </c>
      <c r="H37" s="8">
        <v>0.68</v>
      </c>
      <c r="I37" s="12">
        <v>0</v>
      </c>
    </row>
    <row r="38" spans="2:9" ht="15" customHeight="1" x14ac:dyDescent="0.2">
      <c r="B38" t="s">
        <v>101</v>
      </c>
      <c r="C38" s="12">
        <v>16</v>
      </c>
      <c r="D38" s="8">
        <v>1.81</v>
      </c>
      <c r="E38" s="12">
        <v>5</v>
      </c>
      <c r="F38" s="8">
        <v>0.87</v>
      </c>
      <c r="G38" s="12">
        <v>11</v>
      </c>
      <c r="H38" s="8">
        <v>3.73</v>
      </c>
      <c r="I38" s="12">
        <v>0</v>
      </c>
    </row>
    <row r="39" spans="2:9" ht="15" customHeight="1" x14ac:dyDescent="0.2">
      <c r="B39" t="s">
        <v>130</v>
      </c>
      <c r="C39" s="12">
        <v>14</v>
      </c>
      <c r="D39" s="8">
        <v>1.59</v>
      </c>
      <c r="E39" s="12">
        <v>5</v>
      </c>
      <c r="F39" s="8">
        <v>0.87</v>
      </c>
      <c r="G39" s="12">
        <v>9</v>
      </c>
      <c r="H39" s="8">
        <v>3.05</v>
      </c>
      <c r="I39" s="12">
        <v>0</v>
      </c>
    </row>
    <row r="40" spans="2:9" ht="15" customHeight="1" x14ac:dyDescent="0.2">
      <c r="B40" t="s">
        <v>111</v>
      </c>
      <c r="C40" s="12">
        <v>13</v>
      </c>
      <c r="D40" s="8">
        <v>1.47</v>
      </c>
      <c r="E40" s="12">
        <v>7</v>
      </c>
      <c r="F40" s="8">
        <v>1.21</v>
      </c>
      <c r="G40" s="12">
        <v>4</v>
      </c>
      <c r="H40" s="8">
        <v>1.36</v>
      </c>
      <c r="I40" s="12">
        <v>0</v>
      </c>
    </row>
    <row r="41" spans="2:9" ht="15" customHeight="1" x14ac:dyDescent="0.2">
      <c r="B41" t="s">
        <v>110</v>
      </c>
      <c r="C41" s="12">
        <v>12</v>
      </c>
      <c r="D41" s="8">
        <v>1.36</v>
      </c>
      <c r="E41" s="12">
        <v>8</v>
      </c>
      <c r="F41" s="8">
        <v>1.39</v>
      </c>
      <c r="G41" s="12">
        <v>4</v>
      </c>
      <c r="H41" s="8">
        <v>1.36</v>
      </c>
      <c r="I41" s="12">
        <v>0</v>
      </c>
    </row>
    <row r="42" spans="2:9" ht="15" customHeight="1" x14ac:dyDescent="0.2">
      <c r="B42" t="s">
        <v>132</v>
      </c>
      <c r="C42" s="12">
        <v>10</v>
      </c>
      <c r="D42" s="8">
        <v>1.1299999999999999</v>
      </c>
      <c r="E42" s="12">
        <v>7</v>
      </c>
      <c r="F42" s="8">
        <v>1.21</v>
      </c>
      <c r="G42" s="12">
        <v>3</v>
      </c>
      <c r="H42" s="8">
        <v>1.02</v>
      </c>
      <c r="I42" s="12">
        <v>0</v>
      </c>
    </row>
    <row r="43" spans="2:9" ht="15" customHeight="1" x14ac:dyDescent="0.2">
      <c r="B43" t="s">
        <v>126</v>
      </c>
      <c r="C43" s="12">
        <v>10</v>
      </c>
      <c r="D43" s="8">
        <v>1.1299999999999999</v>
      </c>
      <c r="E43" s="12">
        <v>3</v>
      </c>
      <c r="F43" s="8">
        <v>0.52</v>
      </c>
      <c r="G43" s="12">
        <v>7</v>
      </c>
      <c r="H43" s="8">
        <v>2.37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170</v>
      </c>
      <c r="C47" s="12">
        <v>54</v>
      </c>
      <c r="D47" s="8">
        <v>6.12</v>
      </c>
      <c r="E47" s="12">
        <v>54</v>
      </c>
      <c r="F47" s="8">
        <v>9.36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154</v>
      </c>
      <c r="C48" s="12">
        <v>45</v>
      </c>
      <c r="D48" s="8">
        <v>5.0999999999999996</v>
      </c>
      <c r="E48" s="12">
        <v>12</v>
      </c>
      <c r="F48" s="8">
        <v>2.08</v>
      </c>
      <c r="G48" s="12">
        <v>33</v>
      </c>
      <c r="H48" s="8">
        <v>11.19</v>
      </c>
      <c r="I48" s="12">
        <v>0</v>
      </c>
    </row>
    <row r="49" spans="2:9" ht="15" customHeight="1" x14ac:dyDescent="0.2">
      <c r="B49" t="s">
        <v>186</v>
      </c>
      <c r="C49" s="12">
        <v>31</v>
      </c>
      <c r="D49" s="8">
        <v>3.51</v>
      </c>
      <c r="E49" s="12">
        <v>27</v>
      </c>
      <c r="F49" s="8">
        <v>4.68</v>
      </c>
      <c r="G49" s="12">
        <v>4</v>
      </c>
      <c r="H49" s="8">
        <v>1.36</v>
      </c>
      <c r="I49" s="12">
        <v>0</v>
      </c>
    </row>
    <row r="50" spans="2:9" ht="15" customHeight="1" x14ac:dyDescent="0.2">
      <c r="B50" t="s">
        <v>159</v>
      </c>
      <c r="C50" s="12">
        <v>29</v>
      </c>
      <c r="D50" s="8">
        <v>3.28</v>
      </c>
      <c r="E50" s="12">
        <v>24</v>
      </c>
      <c r="F50" s="8">
        <v>4.16</v>
      </c>
      <c r="G50" s="12">
        <v>5</v>
      </c>
      <c r="H50" s="8">
        <v>1.69</v>
      </c>
      <c r="I50" s="12">
        <v>0</v>
      </c>
    </row>
    <row r="51" spans="2:9" ht="15" customHeight="1" x14ac:dyDescent="0.2">
      <c r="B51" t="s">
        <v>169</v>
      </c>
      <c r="C51" s="12">
        <v>29</v>
      </c>
      <c r="D51" s="8">
        <v>3.28</v>
      </c>
      <c r="E51" s="12">
        <v>29</v>
      </c>
      <c r="F51" s="8">
        <v>5.03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172</v>
      </c>
      <c r="C52" s="12">
        <v>27</v>
      </c>
      <c r="D52" s="8">
        <v>3.06</v>
      </c>
      <c r="E52" s="12">
        <v>27</v>
      </c>
      <c r="F52" s="8">
        <v>4.68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164</v>
      </c>
      <c r="C53" s="12">
        <v>25</v>
      </c>
      <c r="D53" s="8">
        <v>2.83</v>
      </c>
      <c r="E53" s="12">
        <v>15</v>
      </c>
      <c r="F53" s="8">
        <v>2.6</v>
      </c>
      <c r="G53" s="12">
        <v>10</v>
      </c>
      <c r="H53" s="8">
        <v>3.39</v>
      </c>
      <c r="I53" s="12">
        <v>0</v>
      </c>
    </row>
    <row r="54" spans="2:9" ht="15" customHeight="1" x14ac:dyDescent="0.2">
      <c r="B54" t="s">
        <v>158</v>
      </c>
      <c r="C54" s="12">
        <v>24</v>
      </c>
      <c r="D54" s="8">
        <v>2.72</v>
      </c>
      <c r="E54" s="12">
        <v>21</v>
      </c>
      <c r="F54" s="8">
        <v>3.64</v>
      </c>
      <c r="G54" s="12">
        <v>3</v>
      </c>
      <c r="H54" s="8">
        <v>1.02</v>
      </c>
      <c r="I54" s="12">
        <v>0</v>
      </c>
    </row>
    <row r="55" spans="2:9" ht="15" customHeight="1" x14ac:dyDescent="0.2">
      <c r="B55" t="s">
        <v>161</v>
      </c>
      <c r="C55" s="12">
        <v>18</v>
      </c>
      <c r="D55" s="8">
        <v>2.04</v>
      </c>
      <c r="E55" s="12">
        <v>16</v>
      </c>
      <c r="F55" s="8">
        <v>2.77</v>
      </c>
      <c r="G55" s="12">
        <v>2</v>
      </c>
      <c r="H55" s="8">
        <v>0.68</v>
      </c>
      <c r="I55" s="12">
        <v>0</v>
      </c>
    </row>
    <row r="56" spans="2:9" ht="15" customHeight="1" x14ac:dyDescent="0.2">
      <c r="B56" t="s">
        <v>173</v>
      </c>
      <c r="C56" s="12">
        <v>18</v>
      </c>
      <c r="D56" s="8">
        <v>2.04</v>
      </c>
      <c r="E56" s="12">
        <v>16</v>
      </c>
      <c r="F56" s="8">
        <v>2.77</v>
      </c>
      <c r="G56" s="12">
        <v>2</v>
      </c>
      <c r="H56" s="8">
        <v>0.68</v>
      </c>
      <c r="I56" s="12">
        <v>0</v>
      </c>
    </row>
    <row r="57" spans="2:9" ht="15" customHeight="1" x14ac:dyDescent="0.2">
      <c r="B57" t="s">
        <v>155</v>
      </c>
      <c r="C57" s="12">
        <v>17</v>
      </c>
      <c r="D57" s="8">
        <v>1.93</v>
      </c>
      <c r="E57" s="12">
        <v>8</v>
      </c>
      <c r="F57" s="8">
        <v>1.39</v>
      </c>
      <c r="G57" s="12">
        <v>9</v>
      </c>
      <c r="H57" s="8">
        <v>3.05</v>
      </c>
      <c r="I57" s="12">
        <v>0</v>
      </c>
    </row>
    <row r="58" spans="2:9" ht="15" customHeight="1" x14ac:dyDescent="0.2">
      <c r="B58" t="s">
        <v>156</v>
      </c>
      <c r="C58" s="12">
        <v>14</v>
      </c>
      <c r="D58" s="8">
        <v>1.59</v>
      </c>
      <c r="E58" s="12">
        <v>9</v>
      </c>
      <c r="F58" s="8">
        <v>1.56</v>
      </c>
      <c r="G58" s="12">
        <v>5</v>
      </c>
      <c r="H58" s="8">
        <v>1.69</v>
      </c>
      <c r="I58" s="12">
        <v>0</v>
      </c>
    </row>
    <row r="59" spans="2:9" ht="15" customHeight="1" x14ac:dyDescent="0.2">
      <c r="B59" t="s">
        <v>177</v>
      </c>
      <c r="C59" s="12">
        <v>14</v>
      </c>
      <c r="D59" s="8">
        <v>1.59</v>
      </c>
      <c r="E59" s="12">
        <v>11</v>
      </c>
      <c r="F59" s="8">
        <v>1.91</v>
      </c>
      <c r="G59" s="12">
        <v>2</v>
      </c>
      <c r="H59" s="8">
        <v>0.68</v>
      </c>
      <c r="I59" s="12">
        <v>1</v>
      </c>
    </row>
    <row r="60" spans="2:9" ht="15" customHeight="1" x14ac:dyDescent="0.2">
      <c r="B60" t="s">
        <v>171</v>
      </c>
      <c r="C60" s="12">
        <v>14</v>
      </c>
      <c r="D60" s="8">
        <v>1.59</v>
      </c>
      <c r="E60" s="12">
        <v>14</v>
      </c>
      <c r="F60" s="8">
        <v>2.4300000000000002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203</v>
      </c>
      <c r="C61" s="12">
        <v>13</v>
      </c>
      <c r="D61" s="8">
        <v>1.47</v>
      </c>
      <c r="E61" s="12">
        <v>9</v>
      </c>
      <c r="F61" s="8">
        <v>1.56</v>
      </c>
      <c r="G61" s="12">
        <v>4</v>
      </c>
      <c r="H61" s="8">
        <v>1.36</v>
      </c>
      <c r="I61" s="12">
        <v>0</v>
      </c>
    </row>
    <row r="62" spans="2:9" ht="15" customHeight="1" x14ac:dyDescent="0.2">
      <c r="B62" t="s">
        <v>160</v>
      </c>
      <c r="C62" s="12">
        <v>13</v>
      </c>
      <c r="D62" s="8">
        <v>1.47</v>
      </c>
      <c r="E62" s="12">
        <v>5</v>
      </c>
      <c r="F62" s="8">
        <v>0.87</v>
      </c>
      <c r="G62" s="12">
        <v>8</v>
      </c>
      <c r="H62" s="8">
        <v>2.71</v>
      </c>
      <c r="I62" s="12">
        <v>0</v>
      </c>
    </row>
    <row r="63" spans="2:9" ht="15" customHeight="1" x14ac:dyDescent="0.2">
      <c r="B63" t="s">
        <v>205</v>
      </c>
      <c r="C63" s="12">
        <v>13</v>
      </c>
      <c r="D63" s="8">
        <v>1.47</v>
      </c>
      <c r="E63" s="12">
        <v>4</v>
      </c>
      <c r="F63" s="8">
        <v>0.69</v>
      </c>
      <c r="G63" s="12">
        <v>9</v>
      </c>
      <c r="H63" s="8">
        <v>3.05</v>
      </c>
      <c r="I63" s="12">
        <v>0</v>
      </c>
    </row>
    <row r="64" spans="2:9" ht="15" customHeight="1" x14ac:dyDescent="0.2">
      <c r="B64" t="s">
        <v>181</v>
      </c>
      <c r="C64" s="12">
        <v>11</v>
      </c>
      <c r="D64" s="8">
        <v>1.25</v>
      </c>
      <c r="E64" s="12">
        <v>11</v>
      </c>
      <c r="F64" s="8">
        <v>1.91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194</v>
      </c>
      <c r="C65" s="12">
        <v>10</v>
      </c>
      <c r="D65" s="8">
        <v>1.1299999999999999</v>
      </c>
      <c r="E65" s="12">
        <v>2</v>
      </c>
      <c r="F65" s="8">
        <v>0.35</v>
      </c>
      <c r="G65" s="12">
        <v>8</v>
      </c>
      <c r="H65" s="8">
        <v>2.71</v>
      </c>
      <c r="I65" s="12">
        <v>0</v>
      </c>
    </row>
    <row r="66" spans="2:9" ht="15" customHeight="1" x14ac:dyDescent="0.2">
      <c r="B66" t="s">
        <v>157</v>
      </c>
      <c r="C66" s="12">
        <v>10</v>
      </c>
      <c r="D66" s="8">
        <v>1.1299999999999999</v>
      </c>
      <c r="E66" s="12">
        <v>6</v>
      </c>
      <c r="F66" s="8">
        <v>1.04</v>
      </c>
      <c r="G66" s="12">
        <v>4</v>
      </c>
      <c r="H66" s="8">
        <v>1.36</v>
      </c>
      <c r="I66" s="12">
        <v>0</v>
      </c>
    </row>
    <row r="67" spans="2:9" ht="15" customHeight="1" x14ac:dyDescent="0.2">
      <c r="B67" t="s">
        <v>225</v>
      </c>
      <c r="C67" s="12">
        <v>10</v>
      </c>
      <c r="D67" s="8">
        <v>1.1299999999999999</v>
      </c>
      <c r="E67" s="12">
        <v>2</v>
      </c>
      <c r="F67" s="8">
        <v>0.35</v>
      </c>
      <c r="G67" s="12">
        <v>8</v>
      </c>
      <c r="H67" s="8">
        <v>2.71</v>
      </c>
      <c r="I67" s="12">
        <v>0</v>
      </c>
    </row>
    <row r="68" spans="2:9" ht="15" customHeight="1" x14ac:dyDescent="0.2">
      <c r="B68" t="s">
        <v>163</v>
      </c>
      <c r="C68" s="12">
        <v>10</v>
      </c>
      <c r="D68" s="8">
        <v>1.1299999999999999</v>
      </c>
      <c r="E68" s="12">
        <v>1</v>
      </c>
      <c r="F68" s="8">
        <v>0.17</v>
      </c>
      <c r="G68" s="12">
        <v>9</v>
      </c>
      <c r="H68" s="8">
        <v>3.05</v>
      </c>
      <c r="I68" s="12">
        <v>0</v>
      </c>
    </row>
    <row r="69" spans="2:9" ht="15" customHeight="1" x14ac:dyDescent="0.2">
      <c r="B69" t="s">
        <v>166</v>
      </c>
      <c r="C69" s="12">
        <v>10</v>
      </c>
      <c r="D69" s="8">
        <v>1.1299999999999999</v>
      </c>
      <c r="E69" s="12">
        <v>10</v>
      </c>
      <c r="F69" s="8">
        <v>1.73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167</v>
      </c>
      <c r="C70" s="12">
        <v>10</v>
      </c>
      <c r="D70" s="8">
        <v>1.1299999999999999</v>
      </c>
      <c r="E70" s="12">
        <v>10</v>
      </c>
      <c r="F70" s="8">
        <v>1.73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220</v>
      </c>
      <c r="C71" s="12">
        <v>10</v>
      </c>
      <c r="D71" s="8">
        <v>1.1299999999999999</v>
      </c>
      <c r="E71" s="12">
        <v>8</v>
      </c>
      <c r="F71" s="8">
        <v>1.39</v>
      </c>
      <c r="G71" s="12">
        <v>2</v>
      </c>
      <c r="H71" s="8">
        <v>0.68</v>
      </c>
      <c r="I71" s="12">
        <v>0</v>
      </c>
    </row>
    <row r="73" spans="2:9" ht="15" customHeight="1" x14ac:dyDescent="0.2">
      <c r="B73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E0424-EAE2-4DF8-BCD8-870C17EB43DC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330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296</v>
      </c>
      <c r="D6" s="8">
        <v>16.89</v>
      </c>
      <c r="E6" s="12">
        <v>142</v>
      </c>
      <c r="F6" s="8">
        <v>13.87</v>
      </c>
      <c r="G6" s="12">
        <v>154</v>
      </c>
      <c r="H6" s="8">
        <v>21.88</v>
      </c>
      <c r="I6" s="12">
        <v>0</v>
      </c>
    </row>
    <row r="7" spans="2:9" ht="15" customHeight="1" x14ac:dyDescent="0.2">
      <c r="B7" t="s">
        <v>77</v>
      </c>
      <c r="C7" s="12">
        <v>119</v>
      </c>
      <c r="D7" s="8">
        <v>6.79</v>
      </c>
      <c r="E7" s="12">
        <v>67</v>
      </c>
      <c r="F7" s="8">
        <v>6.54</v>
      </c>
      <c r="G7" s="12">
        <v>51</v>
      </c>
      <c r="H7" s="8">
        <v>7.24</v>
      </c>
      <c r="I7" s="12">
        <v>1</v>
      </c>
    </row>
    <row r="8" spans="2:9" ht="15" customHeight="1" x14ac:dyDescent="0.2">
      <c r="B8" t="s">
        <v>78</v>
      </c>
      <c r="C8" s="12">
        <v>1</v>
      </c>
      <c r="D8" s="8">
        <v>0.06</v>
      </c>
      <c r="E8" s="12">
        <v>0</v>
      </c>
      <c r="F8" s="8">
        <v>0</v>
      </c>
      <c r="G8" s="12">
        <v>1</v>
      </c>
      <c r="H8" s="8">
        <v>0.14000000000000001</v>
      </c>
      <c r="I8" s="12">
        <v>0</v>
      </c>
    </row>
    <row r="9" spans="2:9" ht="15" customHeight="1" x14ac:dyDescent="0.2">
      <c r="B9" t="s">
        <v>79</v>
      </c>
      <c r="C9" s="12">
        <v>15</v>
      </c>
      <c r="D9" s="8">
        <v>0.86</v>
      </c>
      <c r="E9" s="12">
        <v>0</v>
      </c>
      <c r="F9" s="8">
        <v>0</v>
      </c>
      <c r="G9" s="12">
        <v>15</v>
      </c>
      <c r="H9" s="8">
        <v>2.13</v>
      </c>
      <c r="I9" s="12">
        <v>0</v>
      </c>
    </row>
    <row r="10" spans="2:9" ht="15" customHeight="1" x14ac:dyDescent="0.2">
      <c r="B10" t="s">
        <v>80</v>
      </c>
      <c r="C10" s="12">
        <v>30</v>
      </c>
      <c r="D10" s="8">
        <v>1.71</v>
      </c>
      <c r="E10" s="12">
        <v>26</v>
      </c>
      <c r="F10" s="8">
        <v>2.54</v>
      </c>
      <c r="G10" s="12">
        <v>4</v>
      </c>
      <c r="H10" s="8">
        <v>0.56999999999999995</v>
      </c>
      <c r="I10" s="12">
        <v>0</v>
      </c>
    </row>
    <row r="11" spans="2:9" ht="15" customHeight="1" x14ac:dyDescent="0.2">
      <c r="B11" t="s">
        <v>81</v>
      </c>
      <c r="C11" s="12">
        <v>459</v>
      </c>
      <c r="D11" s="8">
        <v>26.2</v>
      </c>
      <c r="E11" s="12">
        <v>261</v>
      </c>
      <c r="F11" s="8">
        <v>25.49</v>
      </c>
      <c r="G11" s="12">
        <v>197</v>
      </c>
      <c r="H11" s="8">
        <v>27.98</v>
      </c>
      <c r="I11" s="12">
        <v>1</v>
      </c>
    </row>
    <row r="12" spans="2:9" ht="15" customHeight="1" x14ac:dyDescent="0.2">
      <c r="B12" t="s">
        <v>82</v>
      </c>
      <c r="C12" s="12">
        <v>4</v>
      </c>
      <c r="D12" s="8">
        <v>0.23</v>
      </c>
      <c r="E12" s="12">
        <v>0</v>
      </c>
      <c r="F12" s="8">
        <v>0</v>
      </c>
      <c r="G12" s="12">
        <v>4</v>
      </c>
      <c r="H12" s="8">
        <v>0.56999999999999995</v>
      </c>
      <c r="I12" s="12">
        <v>0</v>
      </c>
    </row>
    <row r="13" spans="2:9" ht="15" customHeight="1" x14ac:dyDescent="0.2">
      <c r="B13" t="s">
        <v>83</v>
      </c>
      <c r="C13" s="12">
        <v>93</v>
      </c>
      <c r="D13" s="8">
        <v>5.31</v>
      </c>
      <c r="E13" s="12">
        <v>23</v>
      </c>
      <c r="F13" s="8">
        <v>2.25</v>
      </c>
      <c r="G13" s="12">
        <v>70</v>
      </c>
      <c r="H13" s="8">
        <v>9.94</v>
      </c>
      <c r="I13" s="12">
        <v>0</v>
      </c>
    </row>
    <row r="14" spans="2:9" ht="15" customHeight="1" x14ac:dyDescent="0.2">
      <c r="B14" t="s">
        <v>84</v>
      </c>
      <c r="C14" s="12">
        <v>84</v>
      </c>
      <c r="D14" s="8">
        <v>4.79</v>
      </c>
      <c r="E14" s="12">
        <v>39</v>
      </c>
      <c r="F14" s="8">
        <v>3.81</v>
      </c>
      <c r="G14" s="12">
        <v>45</v>
      </c>
      <c r="H14" s="8">
        <v>6.39</v>
      </c>
      <c r="I14" s="12">
        <v>0</v>
      </c>
    </row>
    <row r="15" spans="2:9" ht="15" customHeight="1" x14ac:dyDescent="0.2">
      <c r="B15" t="s">
        <v>85</v>
      </c>
      <c r="C15" s="12">
        <v>212</v>
      </c>
      <c r="D15" s="8">
        <v>12.1</v>
      </c>
      <c r="E15" s="12">
        <v>171</v>
      </c>
      <c r="F15" s="8">
        <v>16.7</v>
      </c>
      <c r="G15" s="12">
        <v>41</v>
      </c>
      <c r="H15" s="8">
        <v>5.82</v>
      </c>
      <c r="I15" s="12">
        <v>0</v>
      </c>
    </row>
    <row r="16" spans="2:9" ht="15" customHeight="1" x14ac:dyDescent="0.2">
      <c r="B16" t="s">
        <v>86</v>
      </c>
      <c r="C16" s="12">
        <v>207</v>
      </c>
      <c r="D16" s="8">
        <v>11.82</v>
      </c>
      <c r="E16" s="12">
        <v>160</v>
      </c>
      <c r="F16" s="8">
        <v>15.63</v>
      </c>
      <c r="G16" s="12">
        <v>46</v>
      </c>
      <c r="H16" s="8">
        <v>6.53</v>
      </c>
      <c r="I16" s="12">
        <v>1</v>
      </c>
    </row>
    <row r="17" spans="2:9" ht="15" customHeight="1" x14ac:dyDescent="0.2">
      <c r="B17" t="s">
        <v>87</v>
      </c>
      <c r="C17" s="12">
        <v>64</v>
      </c>
      <c r="D17" s="8">
        <v>3.65</v>
      </c>
      <c r="E17" s="12">
        <v>45</v>
      </c>
      <c r="F17" s="8">
        <v>4.3899999999999997</v>
      </c>
      <c r="G17" s="12">
        <v>18</v>
      </c>
      <c r="H17" s="8">
        <v>2.56</v>
      </c>
      <c r="I17" s="12">
        <v>0</v>
      </c>
    </row>
    <row r="18" spans="2:9" ht="15" customHeight="1" x14ac:dyDescent="0.2">
      <c r="B18" t="s">
        <v>88</v>
      </c>
      <c r="C18" s="12">
        <v>92</v>
      </c>
      <c r="D18" s="8">
        <v>5.25</v>
      </c>
      <c r="E18" s="12">
        <v>59</v>
      </c>
      <c r="F18" s="8">
        <v>5.76</v>
      </c>
      <c r="G18" s="12">
        <v>30</v>
      </c>
      <c r="H18" s="8">
        <v>4.26</v>
      </c>
      <c r="I18" s="12">
        <v>0</v>
      </c>
    </row>
    <row r="19" spans="2:9" ht="15" customHeight="1" x14ac:dyDescent="0.2">
      <c r="B19" t="s">
        <v>89</v>
      </c>
      <c r="C19" s="12">
        <v>76</v>
      </c>
      <c r="D19" s="8">
        <v>4.34</v>
      </c>
      <c r="E19" s="12">
        <v>31</v>
      </c>
      <c r="F19" s="8">
        <v>3.03</v>
      </c>
      <c r="G19" s="12">
        <v>28</v>
      </c>
      <c r="H19" s="8">
        <v>3.98</v>
      </c>
      <c r="I19" s="12">
        <v>0</v>
      </c>
    </row>
    <row r="20" spans="2:9" ht="15" customHeight="1" x14ac:dyDescent="0.2">
      <c r="B20" s="9" t="s">
        <v>285</v>
      </c>
      <c r="C20" s="12">
        <f>SUM(LTBL_40230[総数／事業所数])</f>
        <v>1752</v>
      </c>
      <c r="E20" s="12">
        <f>SUBTOTAL(109,LTBL_40230[個人／事業所数])</f>
        <v>1024</v>
      </c>
      <c r="G20" s="12">
        <f>SUBTOTAL(109,LTBL_40230[法人／事業所数])</f>
        <v>704</v>
      </c>
      <c r="I20" s="12">
        <f>SUBTOTAL(109,LTBL_40230[法人以外の団体／事業所数])</f>
        <v>3</v>
      </c>
    </row>
    <row r="21" spans="2:9" ht="15" customHeight="1" x14ac:dyDescent="0.2">
      <c r="E21" s="11">
        <f>LTBL_40230[[#Totals],[個人／事業所数]]/LTBL_40230[[#Totals],[総数／事業所数]]</f>
        <v>0.58447488584474883</v>
      </c>
      <c r="G21" s="11">
        <f>LTBL_40230[[#Totals],[法人／事業所数]]/LTBL_40230[[#Totals],[総数／事業所数]]</f>
        <v>0.40182648401826482</v>
      </c>
      <c r="I21" s="11">
        <f>LTBL_40230[[#Totals],[法人以外の団体／事業所数]]/LTBL_40230[[#Totals],[総数／事業所数]]</f>
        <v>1.7123287671232876E-3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112</v>
      </c>
      <c r="C24" s="12">
        <v>186</v>
      </c>
      <c r="D24" s="8">
        <v>10.62</v>
      </c>
      <c r="E24" s="12">
        <v>160</v>
      </c>
      <c r="F24" s="8">
        <v>15.63</v>
      </c>
      <c r="G24" s="12">
        <v>26</v>
      </c>
      <c r="H24" s="8">
        <v>3.69</v>
      </c>
      <c r="I24" s="12">
        <v>0</v>
      </c>
    </row>
    <row r="25" spans="2:9" ht="15" customHeight="1" x14ac:dyDescent="0.2">
      <c r="B25" t="s">
        <v>113</v>
      </c>
      <c r="C25" s="12">
        <v>167</v>
      </c>
      <c r="D25" s="8">
        <v>9.5299999999999994</v>
      </c>
      <c r="E25" s="12">
        <v>140</v>
      </c>
      <c r="F25" s="8">
        <v>13.67</v>
      </c>
      <c r="G25" s="12">
        <v>27</v>
      </c>
      <c r="H25" s="8">
        <v>3.84</v>
      </c>
      <c r="I25" s="12">
        <v>0</v>
      </c>
    </row>
    <row r="26" spans="2:9" ht="15" customHeight="1" x14ac:dyDescent="0.2">
      <c r="B26" t="s">
        <v>98</v>
      </c>
      <c r="C26" s="12">
        <v>144</v>
      </c>
      <c r="D26" s="8">
        <v>8.2200000000000006</v>
      </c>
      <c r="E26" s="12">
        <v>61</v>
      </c>
      <c r="F26" s="8">
        <v>5.96</v>
      </c>
      <c r="G26" s="12">
        <v>83</v>
      </c>
      <c r="H26" s="8">
        <v>11.79</v>
      </c>
      <c r="I26" s="12">
        <v>0</v>
      </c>
    </row>
    <row r="27" spans="2:9" ht="15" customHeight="1" x14ac:dyDescent="0.2">
      <c r="B27" t="s">
        <v>107</v>
      </c>
      <c r="C27" s="12">
        <v>133</v>
      </c>
      <c r="D27" s="8">
        <v>7.59</v>
      </c>
      <c r="E27" s="12">
        <v>82</v>
      </c>
      <c r="F27" s="8">
        <v>8.01</v>
      </c>
      <c r="G27" s="12">
        <v>51</v>
      </c>
      <c r="H27" s="8">
        <v>7.24</v>
      </c>
      <c r="I27" s="12">
        <v>0</v>
      </c>
    </row>
    <row r="28" spans="2:9" ht="15" customHeight="1" x14ac:dyDescent="0.2">
      <c r="B28" t="s">
        <v>105</v>
      </c>
      <c r="C28" s="12">
        <v>122</v>
      </c>
      <c r="D28" s="8">
        <v>6.96</v>
      </c>
      <c r="E28" s="12">
        <v>99</v>
      </c>
      <c r="F28" s="8">
        <v>9.67</v>
      </c>
      <c r="G28" s="12">
        <v>22</v>
      </c>
      <c r="H28" s="8">
        <v>3.13</v>
      </c>
      <c r="I28" s="12">
        <v>1</v>
      </c>
    </row>
    <row r="29" spans="2:9" ht="15" customHeight="1" x14ac:dyDescent="0.2">
      <c r="B29" t="s">
        <v>99</v>
      </c>
      <c r="C29" s="12">
        <v>76</v>
      </c>
      <c r="D29" s="8">
        <v>4.34</v>
      </c>
      <c r="E29" s="12">
        <v>49</v>
      </c>
      <c r="F29" s="8">
        <v>4.79</v>
      </c>
      <c r="G29" s="12">
        <v>27</v>
      </c>
      <c r="H29" s="8">
        <v>3.84</v>
      </c>
      <c r="I29" s="12">
        <v>0</v>
      </c>
    </row>
    <row r="30" spans="2:9" ht="15" customHeight="1" x14ac:dyDescent="0.2">
      <c r="B30" t="s">
        <v>100</v>
      </c>
      <c r="C30" s="12">
        <v>76</v>
      </c>
      <c r="D30" s="8">
        <v>4.34</v>
      </c>
      <c r="E30" s="12">
        <v>32</v>
      </c>
      <c r="F30" s="8">
        <v>3.13</v>
      </c>
      <c r="G30" s="12">
        <v>44</v>
      </c>
      <c r="H30" s="8">
        <v>6.25</v>
      </c>
      <c r="I30" s="12">
        <v>0</v>
      </c>
    </row>
    <row r="31" spans="2:9" ht="15" customHeight="1" x14ac:dyDescent="0.2">
      <c r="B31" t="s">
        <v>109</v>
      </c>
      <c r="C31" s="12">
        <v>71</v>
      </c>
      <c r="D31" s="8">
        <v>4.05</v>
      </c>
      <c r="E31" s="12">
        <v>18</v>
      </c>
      <c r="F31" s="8">
        <v>1.76</v>
      </c>
      <c r="G31" s="12">
        <v>53</v>
      </c>
      <c r="H31" s="8">
        <v>7.53</v>
      </c>
      <c r="I31" s="12">
        <v>0</v>
      </c>
    </row>
    <row r="32" spans="2:9" ht="15" customHeight="1" x14ac:dyDescent="0.2">
      <c r="B32" t="s">
        <v>106</v>
      </c>
      <c r="C32" s="12">
        <v>70</v>
      </c>
      <c r="D32" s="8">
        <v>4</v>
      </c>
      <c r="E32" s="12">
        <v>43</v>
      </c>
      <c r="F32" s="8">
        <v>4.2</v>
      </c>
      <c r="G32" s="12">
        <v>27</v>
      </c>
      <c r="H32" s="8">
        <v>3.84</v>
      </c>
      <c r="I32" s="12">
        <v>0</v>
      </c>
    </row>
    <row r="33" spans="2:9" ht="15" customHeight="1" x14ac:dyDescent="0.2">
      <c r="B33" t="s">
        <v>114</v>
      </c>
      <c r="C33" s="12">
        <v>64</v>
      </c>
      <c r="D33" s="8">
        <v>3.65</v>
      </c>
      <c r="E33" s="12">
        <v>45</v>
      </c>
      <c r="F33" s="8">
        <v>4.3899999999999997</v>
      </c>
      <c r="G33" s="12">
        <v>18</v>
      </c>
      <c r="H33" s="8">
        <v>2.56</v>
      </c>
      <c r="I33" s="12">
        <v>0</v>
      </c>
    </row>
    <row r="34" spans="2:9" ht="15" customHeight="1" x14ac:dyDescent="0.2">
      <c r="B34" t="s">
        <v>115</v>
      </c>
      <c r="C34" s="12">
        <v>62</v>
      </c>
      <c r="D34" s="8">
        <v>3.54</v>
      </c>
      <c r="E34" s="12">
        <v>58</v>
      </c>
      <c r="F34" s="8">
        <v>5.66</v>
      </c>
      <c r="G34" s="12">
        <v>4</v>
      </c>
      <c r="H34" s="8">
        <v>0.56999999999999995</v>
      </c>
      <c r="I34" s="12">
        <v>0</v>
      </c>
    </row>
    <row r="35" spans="2:9" ht="15" customHeight="1" x14ac:dyDescent="0.2">
      <c r="B35" t="s">
        <v>111</v>
      </c>
      <c r="C35" s="12">
        <v>40</v>
      </c>
      <c r="D35" s="8">
        <v>2.2799999999999998</v>
      </c>
      <c r="E35" s="12">
        <v>17</v>
      </c>
      <c r="F35" s="8">
        <v>1.66</v>
      </c>
      <c r="G35" s="12">
        <v>23</v>
      </c>
      <c r="H35" s="8">
        <v>3.27</v>
      </c>
      <c r="I35" s="12">
        <v>0</v>
      </c>
    </row>
    <row r="36" spans="2:9" ht="15" customHeight="1" x14ac:dyDescent="0.2">
      <c r="B36" t="s">
        <v>110</v>
      </c>
      <c r="C36" s="12">
        <v>39</v>
      </c>
      <c r="D36" s="8">
        <v>2.23</v>
      </c>
      <c r="E36" s="12">
        <v>21</v>
      </c>
      <c r="F36" s="8">
        <v>2.0499999999999998</v>
      </c>
      <c r="G36" s="12">
        <v>18</v>
      </c>
      <c r="H36" s="8">
        <v>2.56</v>
      </c>
      <c r="I36" s="12">
        <v>0</v>
      </c>
    </row>
    <row r="37" spans="2:9" ht="15" customHeight="1" x14ac:dyDescent="0.2">
      <c r="B37" t="s">
        <v>104</v>
      </c>
      <c r="C37" s="12">
        <v>36</v>
      </c>
      <c r="D37" s="8">
        <v>2.0499999999999998</v>
      </c>
      <c r="E37" s="12">
        <v>14</v>
      </c>
      <c r="F37" s="8">
        <v>1.37</v>
      </c>
      <c r="G37" s="12">
        <v>22</v>
      </c>
      <c r="H37" s="8">
        <v>3.13</v>
      </c>
      <c r="I37" s="12">
        <v>0</v>
      </c>
    </row>
    <row r="38" spans="2:9" ht="15" customHeight="1" x14ac:dyDescent="0.2">
      <c r="B38" t="s">
        <v>116</v>
      </c>
      <c r="C38" s="12">
        <v>30</v>
      </c>
      <c r="D38" s="8">
        <v>1.71</v>
      </c>
      <c r="E38" s="12">
        <v>1</v>
      </c>
      <c r="F38" s="8">
        <v>0.1</v>
      </c>
      <c r="G38" s="12">
        <v>26</v>
      </c>
      <c r="H38" s="8">
        <v>3.69</v>
      </c>
      <c r="I38" s="12">
        <v>0</v>
      </c>
    </row>
    <row r="39" spans="2:9" ht="15" customHeight="1" x14ac:dyDescent="0.2">
      <c r="B39" t="s">
        <v>130</v>
      </c>
      <c r="C39" s="12">
        <v>28</v>
      </c>
      <c r="D39" s="8">
        <v>1.6</v>
      </c>
      <c r="E39" s="12">
        <v>13</v>
      </c>
      <c r="F39" s="8">
        <v>1.27</v>
      </c>
      <c r="G39" s="12">
        <v>14</v>
      </c>
      <c r="H39" s="8">
        <v>1.99</v>
      </c>
      <c r="I39" s="12">
        <v>1</v>
      </c>
    </row>
    <row r="40" spans="2:9" ht="15" customHeight="1" x14ac:dyDescent="0.2">
      <c r="B40" t="s">
        <v>138</v>
      </c>
      <c r="C40" s="12">
        <v>27</v>
      </c>
      <c r="D40" s="8">
        <v>1.54</v>
      </c>
      <c r="E40" s="12">
        <v>26</v>
      </c>
      <c r="F40" s="8">
        <v>2.54</v>
      </c>
      <c r="G40" s="12">
        <v>1</v>
      </c>
      <c r="H40" s="8">
        <v>0.14000000000000001</v>
      </c>
      <c r="I40" s="12">
        <v>0</v>
      </c>
    </row>
    <row r="41" spans="2:9" ht="15" customHeight="1" x14ac:dyDescent="0.2">
      <c r="B41" t="s">
        <v>118</v>
      </c>
      <c r="C41" s="12">
        <v>27</v>
      </c>
      <c r="D41" s="8">
        <v>1.54</v>
      </c>
      <c r="E41" s="12">
        <v>13</v>
      </c>
      <c r="F41" s="8">
        <v>1.27</v>
      </c>
      <c r="G41" s="12">
        <v>14</v>
      </c>
      <c r="H41" s="8">
        <v>1.99</v>
      </c>
      <c r="I41" s="12">
        <v>0</v>
      </c>
    </row>
    <row r="42" spans="2:9" ht="15" customHeight="1" x14ac:dyDescent="0.2">
      <c r="B42" t="s">
        <v>102</v>
      </c>
      <c r="C42" s="12">
        <v>25</v>
      </c>
      <c r="D42" s="8">
        <v>1.43</v>
      </c>
      <c r="E42" s="12">
        <v>4</v>
      </c>
      <c r="F42" s="8">
        <v>0.39</v>
      </c>
      <c r="G42" s="12">
        <v>21</v>
      </c>
      <c r="H42" s="8">
        <v>2.98</v>
      </c>
      <c r="I42" s="12">
        <v>0</v>
      </c>
    </row>
    <row r="43" spans="2:9" ht="15" customHeight="1" x14ac:dyDescent="0.2">
      <c r="B43" t="s">
        <v>123</v>
      </c>
      <c r="C43" s="12">
        <v>25</v>
      </c>
      <c r="D43" s="8">
        <v>1.43</v>
      </c>
      <c r="E43" s="12">
        <v>21</v>
      </c>
      <c r="F43" s="8">
        <v>2.0499999999999998</v>
      </c>
      <c r="G43" s="12">
        <v>4</v>
      </c>
      <c r="H43" s="8">
        <v>0.56999999999999995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170</v>
      </c>
      <c r="C47" s="12">
        <v>83</v>
      </c>
      <c r="D47" s="8">
        <v>4.74</v>
      </c>
      <c r="E47" s="12">
        <v>75</v>
      </c>
      <c r="F47" s="8">
        <v>7.32</v>
      </c>
      <c r="G47" s="12">
        <v>8</v>
      </c>
      <c r="H47" s="8">
        <v>1.1399999999999999</v>
      </c>
      <c r="I47" s="12">
        <v>0</v>
      </c>
    </row>
    <row r="48" spans="2:9" ht="15" customHeight="1" x14ac:dyDescent="0.2">
      <c r="B48" t="s">
        <v>166</v>
      </c>
      <c r="C48" s="12">
        <v>64</v>
      </c>
      <c r="D48" s="8">
        <v>3.65</v>
      </c>
      <c r="E48" s="12">
        <v>50</v>
      </c>
      <c r="F48" s="8">
        <v>4.88</v>
      </c>
      <c r="G48" s="12">
        <v>14</v>
      </c>
      <c r="H48" s="8">
        <v>1.99</v>
      </c>
      <c r="I48" s="12">
        <v>0</v>
      </c>
    </row>
    <row r="49" spans="2:9" ht="15" customHeight="1" x14ac:dyDescent="0.2">
      <c r="B49" t="s">
        <v>169</v>
      </c>
      <c r="C49" s="12">
        <v>56</v>
      </c>
      <c r="D49" s="8">
        <v>3.2</v>
      </c>
      <c r="E49" s="12">
        <v>50</v>
      </c>
      <c r="F49" s="8">
        <v>4.88</v>
      </c>
      <c r="G49" s="12">
        <v>6</v>
      </c>
      <c r="H49" s="8">
        <v>0.85</v>
      </c>
      <c r="I49" s="12">
        <v>0</v>
      </c>
    </row>
    <row r="50" spans="2:9" ht="15" customHeight="1" x14ac:dyDescent="0.2">
      <c r="B50" t="s">
        <v>154</v>
      </c>
      <c r="C50" s="12">
        <v>50</v>
      </c>
      <c r="D50" s="8">
        <v>2.85</v>
      </c>
      <c r="E50" s="12">
        <v>14</v>
      </c>
      <c r="F50" s="8">
        <v>1.37</v>
      </c>
      <c r="G50" s="12">
        <v>36</v>
      </c>
      <c r="H50" s="8">
        <v>5.1100000000000003</v>
      </c>
      <c r="I50" s="12">
        <v>0</v>
      </c>
    </row>
    <row r="51" spans="2:9" ht="15" customHeight="1" x14ac:dyDescent="0.2">
      <c r="B51" t="s">
        <v>172</v>
      </c>
      <c r="C51" s="12">
        <v>48</v>
      </c>
      <c r="D51" s="8">
        <v>2.74</v>
      </c>
      <c r="E51" s="12">
        <v>44</v>
      </c>
      <c r="F51" s="8">
        <v>4.3</v>
      </c>
      <c r="G51" s="12">
        <v>4</v>
      </c>
      <c r="H51" s="8">
        <v>0.56999999999999995</v>
      </c>
      <c r="I51" s="12">
        <v>0</v>
      </c>
    </row>
    <row r="52" spans="2:9" ht="15" customHeight="1" x14ac:dyDescent="0.2">
      <c r="B52" t="s">
        <v>177</v>
      </c>
      <c r="C52" s="12">
        <v>46</v>
      </c>
      <c r="D52" s="8">
        <v>2.63</v>
      </c>
      <c r="E52" s="12">
        <v>40</v>
      </c>
      <c r="F52" s="8">
        <v>3.91</v>
      </c>
      <c r="G52" s="12">
        <v>6</v>
      </c>
      <c r="H52" s="8">
        <v>0.85</v>
      </c>
      <c r="I52" s="12">
        <v>0</v>
      </c>
    </row>
    <row r="53" spans="2:9" ht="15" customHeight="1" x14ac:dyDescent="0.2">
      <c r="B53" t="s">
        <v>159</v>
      </c>
      <c r="C53" s="12">
        <v>45</v>
      </c>
      <c r="D53" s="8">
        <v>2.57</v>
      </c>
      <c r="E53" s="12">
        <v>30</v>
      </c>
      <c r="F53" s="8">
        <v>2.93</v>
      </c>
      <c r="G53" s="12">
        <v>15</v>
      </c>
      <c r="H53" s="8">
        <v>2.13</v>
      </c>
      <c r="I53" s="12">
        <v>0</v>
      </c>
    </row>
    <row r="54" spans="2:9" ht="15" customHeight="1" x14ac:dyDescent="0.2">
      <c r="B54" t="s">
        <v>171</v>
      </c>
      <c r="C54" s="12">
        <v>44</v>
      </c>
      <c r="D54" s="8">
        <v>2.5099999999999998</v>
      </c>
      <c r="E54" s="12">
        <v>32</v>
      </c>
      <c r="F54" s="8">
        <v>3.13</v>
      </c>
      <c r="G54" s="12">
        <v>12</v>
      </c>
      <c r="H54" s="8">
        <v>1.7</v>
      </c>
      <c r="I54" s="12">
        <v>0</v>
      </c>
    </row>
    <row r="55" spans="2:9" ht="15" customHeight="1" x14ac:dyDescent="0.2">
      <c r="B55" t="s">
        <v>158</v>
      </c>
      <c r="C55" s="12">
        <v>41</v>
      </c>
      <c r="D55" s="8">
        <v>2.34</v>
      </c>
      <c r="E55" s="12">
        <v>34</v>
      </c>
      <c r="F55" s="8">
        <v>3.32</v>
      </c>
      <c r="G55" s="12">
        <v>7</v>
      </c>
      <c r="H55" s="8">
        <v>0.99</v>
      </c>
      <c r="I55" s="12">
        <v>0</v>
      </c>
    </row>
    <row r="56" spans="2:9" ht="15" customHeight="1" x14ac:dyDescent="0.2">
      <c r="B56" t="s">
        <v>186</v>
      </c>
      <c r="C56" s="12">
        <v>38</v>
      </c>
      <c r="D56" s="8">
        <v>2.17</v>
      </c>
      <c r="E56" s="12">
        <v>27</v>
      </c>
      <c r="F56" s="8">
        <v>2.64</v>
      </c>
      <c r="G56" s="12">
        <v>11</v>
      </c>
      <c r="H56" s="8">
        <v>1.56</v>
      </c>
      <c r="I56" s="12">
        <v>0</v>
      </c>
    </row>
    <row r="57" spans="2:9" ht="15" customHeight="1" x14ac:dyDescent="0.2">
      <c r="B57" t="s">
        <v>161</v>
      </c>
      <c r="C57" s="12">
        <v>37</v>
      </c>
      <c r="D57" s="8">
        <v>2.11</v>
      </c>
      <c r="E57" s="12">
        <v>30</v>
      </c>
      <c r="F57" s="8">
        <v>2.93</v>
      </c>
      <c r="G57" s="12">
        <v>7</v>
      </c>
      <c r="H57" s="8">
        <v>0.99</v>
      </c>
      <c r="I57" s="12">
        <v>0</v>
      </c>
    </row>
    <row r="58" spans="2:9" ht="15" customHeight="1" x14ac:dyDescent="0.2">
      <c r="B58" t="s">
        <v>164</v>
      </c>
      <c r="C58" s="12">
        <v>37</v>
      </c>
      <c r="D58" s="8">
        <v>2.11</v>
      </c>
      <c r="E58" s="12">
        <v>12</v>
      </c>
      <c r="F58" s="8">
        <v>1.17</v>
      </c>
      <c r="G58" s="12">
        <v>25</v>
      </c>
      <c r="H58" s="8">
        <v>3.55</v>
      </c>
      <c r="I58" s="12">
        <v>0</v>
      </c>
    </row>
    <row r="59" spans="2:9" ht="15" customHeight="1" x14ac:dyDescent="0.2">
      <c r="B59" t="s">
        <v>155</v>
      </c>
      <c r="C59" s="12">
        <v>33</v>
      </c>
      <c r="D59" s="8">
        <v>1.88</v>
      </c>
      <c r="E59" s="12">
        <v>10</v>
      </c>
      <c r="F59" s="8">
        <v>0.98</v>
      </c>
      <c r="G59" s="12">
        <v>23</v>
      </c>
      <c r="H59" s="8">
        <v>3.27</v>
      </c>
      <c r="I59" s="12">
        <v>0</v>
      </c>
    </row>
    <row r="60" spans="2:9" ht="15" customHeight="1" x14ac:dyDescent="0.2">
      <c r="B60" t="s">
        <v>156</v>
      </c>
      <c r="C60" s="12">
        <v>33</v>
      </c>
      <c r="D60" s="8">
        <v>1.88</v>
      </c>
      <c r="E60" s="12">
        <v>15</v>
      </c>
      <c r="F60" s="8">
        <v>1.46</v>
      </c>
      <c r="G60" s="12">
        <v>18</v>
      </c>
      <c r="H60" s="8">
        <v>2.56</v>
      </c>
      <c r="I60" s="12">
        <v>0</v>
      </c>
    </row>
    <row r="61" spans="2:9" ht="15" customHeight="1" x14ac:dyDescent="0.2">
      <c r="B61" t="s">
        <v>160</v>
      </c>
      <c r="C61" s="12">
        <v>33</v>
      </c>
      <c r="D61" s="8">
        <v>1.88</v>
      </c>
      <c r="E61" s="12">
        <v>13</v>
      </c>
      <c r="F61" s="8">
        <v>1.27</v>
      </c>
      <c r="G61" s="12">
        <v>20</v>
      </c>
      <c r="H61" s="8">
        <v>2.84</v>
      </c>
      <c r="I61" s="12">
        <v>0</v>
      </c>
    </row>
    <row r="62" spans="2:9" ht="15" customHeight="1" x14ac:dyDescent="0.2">
      <c r="B62" t="s">
        <v>167</v>
      </c>
      <c r="C62" s="12">
        <v>32</v>
      </c>
      <c r="D62" s="8">
        <v>1.83</v>
      </c>
      <c r="E62" s="12">
        <v>29</v>
      </c>
      <c r="F62" s="8">
        <v>2.83</v>
      </c>
      <c r="G62" s="12">
        <v>3</v>
      </c>
      <c r="H62" s="8">
        <v>0.43</v>
      </c>
      <c r="I62" s="12">
        <v>0</v>
      </c>
    </row>
    <row r="63" spans="2:9" ht="15" customHeight="1" x14ac:dyDescent="0.2">
      <c r="B63" t="s">
        <v>174</v>
      </c>
      <c r="C63" s="12">
        <v>31</v>
      </c>
      <c r="D63" s="8">
        <v>1.77</v>
      </c>
      <c r="E63" s="12">
        <v>16</v>
      </c>
      <c r="F63" s="8">
        <v>1.56</v>
      </c>
      <c r="G63" s="12">
        <v>15</v>
      </c>
      <c r="H63" s="8">
        <v>2.13</v>
      </c>
      <c r="I63" s="12">
        <v>0</v>
      </c>
    </row>
    <row r="64" spans="2:9" ht="15" customHeight="1" x14ac:dyDescent="0.2">
      <c r="B64" t="s">
        <v>168</v>
      </c>
      <c r="C64" s="12">
        <v>30</v>
      </c>
      <c r="D64" s="8">
        <v>1.71</v>
      </c>
      <c r="E64" s="12">
        <v>29</v>
      </c>
      <c r="F64" s="8">
        <v>2.83</v>
      </c>
      <c r="G64" s="12">
        <v>1</v>
      </c>
      <c r="H64" s="8">
        <v>0.14000000000000001</v>
      </c>
      <c r="I64" s="12">
        <v>0</v>
      </c>
    </row>
    <row r="65" spans="2:9" ht="15" customHeight="1" x14ac:dyDescent="0.2">
      <c r="B65" t="s">
        <v>227</v>
      </c>
      <c r="C65" s="12">
        <v>26</v>
      </c>
      <c r="D65" s="8">
        <v>1.48</v>
      </c>
      <c r="E65" s="12">
        <v>26</v>
      </c>
      <c r="F65" s="8">
        <v>2.54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165</v>
      </c>
      <c r="C66" s="12">
        <v>25</v>
      </c>
      <c r="D66" s="8">
        <v>1.43</v>
      </c>
      <c r="E66" s="12">
        <v>10</v>
      </c>
      <c r="F66" s="8">
        <v>0.98</v>
      </c>
      <c r="G66" s="12">
        <v>15</v>
      </c>
      <c r="H66" s="8">
        <v>2.13</v>
      </c>
      <c r="I66" s="12">
        <v>0</v>
      </c>
    </row>
    <row r="67" spans="2:9" ht="15" customHeight="1" x14ac:dyDescent="0.2">
      <c r="B67" t="s">
        <v>173</v>
      </c>
      <c r="C67" s="12">
        <v>25</v>
      </c>
      <c r="D67" s="8">
        <v>1.43</v>
      </c>
      <c r="E67" s="12">
        <v>21</v>
      </c>
      <c r="F67" s="8">
        <v>2.0499999999999998</v>
      </c>
      <c r="G67" s="12">
        <v>4</v>
      </c>
      <c r="H67" s="8">
        <v>0.56999999999999995</v>
      </c>
      <c r="I67" s="12">
        <v>0</v>
      </c>
    </row>
    <row r="69" spans="2:9" ht="15" customHeight="1" x14ac:dyDescent="0.2">
      <c r="B69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2F245-AA2A-4669-9DF8-88973C008884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331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274</v>
      </c>
      <c r="D6" s="8">
        <v>25.51</v>
      </c>
      <c r="E6" s="12">
        <v>83</v>
      </c>
      <c r="F6" s="8">
        <v>16.77</v>
      </c>
      <c r="G6" s="12">
        <v>191</v>
      </c>
      <c r="H6" s="8">
        <v>33.39</v>
      </c>
      <c r="I6" s="12">
        <v>0</v>
      </c>
    </row>
    <row r="7" spans="2:9" ht="15" customHeight="1" x14ac:dyDescent="0.2">
      <c r="B7" t="s">
        <v>77</v>
      </c>
      <c r="C7" s="12">
        <v>103</v>
      </c>
      <c r="D7" s="8">
        <v>9.59</v>
      </c>
      <c r="E7" s="12">
        <v>33</v>
      </c>
      <c r="F7" s="8">
        <v>6.67</v>
      </c>
      <c r="G7" s="12">
        <v>70</v>
      </c>
      <c r="H7" s="8">
        <v>12.24</v>
      </c>
      <c r="I7" s="12">
        <v>0</v>
      </c>
    </row>
    <row r="8" spans="2:9" ht="15" customHeight="1" x14ac:dyDescent="0.2">
      <c r="B8" t="s">
        <v>78</v>
      </c>
      <c r="C8" s="12">
        <v>3</v>
      </c>
      <c r="D8" s="8">
        <v>0.28000000000000003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6</v>
      </c>
      <c r="D9" s="8">
        <v>0.56000000000000005</v>
      </c>
      <c r="E9" s="12">
        <v>1</v>
      </c>
      <c r="F9" s="8">
        <v>0.2</v>
      </c>
      <c r="G9" s="12">
        <v>5</v>
      </c>
      <c r="H9" s="8">
        <v>0.87</v>
      </c>
      <c r="I9" s="12">
        <v>0</v>
      </c>
    </row>
    <row r="10" spans="2:9" ht="15" customHeight="1" x14ac:dyDescent="0.2">
      <c r="B10" t="s">
        <v>80</v>
      </c>
      <c r="C10" s="12">
        <v>13</v>
      </c>
      <c r="D10" s="8">
        <v>1.21</v>
      </c>
      <c r="E10" s="12">
        <v>10</v>
      </c>
      <c r="F10" s="8">
        <v>2.02</v>
      </c>
      <c r="G10" s="12">
        <v>3</v>
      </c>
      <c r="H10" s="8">
        <v>0.52</v>
      </c>
      <c r="I10" s="12">
        <v>0</v>
      </c>
    </row>
    <row r="11" spans="2:9" ht="15" customHeight="1" x14ac:dyDescent="0.2">
      <c r="B11" t="s">
        <v>81</v>
      </c>
      <c r="C11" s="12">
        <v>224</v>
      </c>
      <c r="D11" s="8">
        <v>20.86</v>
      </c>
      <c r="E11" s="12">
        <v>102</v>
      </c>
      <c r="F11" s="8">
        <v>20.61</v>
      </c>
      <c r="G11" s="12">
        <v>122</v>
      </c>
      <c r="H11" s="8">
        <v>21.33</v>
      </c>
      <c r="I11" s="12">
        <v>0</v>
      </c>
    </row>
    <row r="12" spans="2:9" ht="15" customHeight="1" x14ac:dyDescent="0.2">
      <c r="B12" t="s">
        <v>82</v>
      </c>
      <c r="C12" s="12">
        <v>4</v>
      </c>
      <c r="D12" s="8">
        <v>0.37</v>
      </c>
      <c r="E12" s="12">
        <v>1</v>
      </c>
      <c r="F12" s="8">
        <v>0.2</v>
      </c>
      <c r="G12" s="12">
        <v>3</v>
      </c>
      <c r="H12" s="8">
        <v>0.52</v>
      </c>
      <c r="I12" s="12">
        <v>0</v>
      </c>
    </row>
    <row r="13" spans="2:9" ht="15" customHeight="1" x14ac:dyDescent="0.2">
      <c r="B13" t="s">
        <v>83</v>
      </c>
      <c r="C13" s="12">
        <v>58</v>
      </c>
      <c r="D13" s="8">
        <v>5.4</v>
      </c>
      <c r="E13" s="12">
        <v>3</v>
      </c>
      <c r="F13" s="8">
        <v>0.61</v>
      </c>
      <c r="G13" s="12">
        <v>55</v>
      </c>
      <c r="H13" s="8">
        <v>9.6199999999999992</v>
      </c>
      <c r="I13" s="12">
        <v>0</v>
      </c>
    </row>
    <row r="14" spans="2:9" ht="15" customHeight="1" x14ac:dyDescent="0.2">
      <c r="B14" t="s">
        <v>84</v>
      </c>
      <c r="C14" s="12">
        <v>53</v>
      </c>
      <c r="D14" s="8">
        <v>4.93</v>
      </c>
      <c r="E14" s="12">
        <v>26</v>
      </c>
      <c r="F14" s="8">
        <v>5.25</v>
      </c>
      <c r="G14" s="12">
        <v>27</v>
      </c>
      <c r="H14" s="8">
        <v>4.72</v>
      </c>
      <c r="I14" s="12">
        <v>0</v>
      </c>
    </row>
    <row r="15" spans="2:9" ht="15" customHeight="1" x14ac:dyDescent="0.2">
      <c r="B15" t="s">
        <v>85</v>
      </c>
      <c r="C15" s="12">
        <v>93</v>
      </c>
      <c r="D15" s="8">
        <v>8.66</v>
      </c>
      <c r="E15" s="12">
        <v>79</v>
      </c>
      <c r="F15" s="8">
        <v>15.96</v>
      </c>
      <c r="G15" s="12">
        <v>14</v>
      </c>
      <c r="H15" s="8">
        <v>2.4500000000000002</v>
      </c>
      <c r="I15" s="12">
        <v>0</v>
      </c>
    </row>
    <row r="16" spans="2:9" ht="15" customHeight="1" x14ac:dyDescent="0.2">
      <c r="B16" t="s">
        <v>86</v>
      </c>
      <c r="C16" s="12">
        <v>113</v>
      </c>
      <c r="D16" s="8">
        <v>10.52</v>
      </c>
      <c r="E16" s="12">
        <v>80</v>
      </c>
      <c r="F16" s="8">
        <v>16.16</v>
      </c>
      <c r="G16" s="12">
        <v>33</v>
      </c>
      <c r="H16" s="8">
        <v>5.77</v>
      </c>
      <c r="I16" s="12">
        <v>0</v>
      </c>
    </row>
    <row r="17" spans="2:9" ht="15" customHeight="1" x14ac:dyDescent="0.2">
      <c r="B17" t="s">
        <v>87</v>
      </c>
      <c r="C17" s="12">
        <v>34</v>
      </c>
      <c r="D17" s="8">
        <v>3.17</v>
      </c>
      <c r="E17" s="12">
        <v>27</v>
      </c>
      <c r="F17" s="8">
        <v>5.45</v>
      </c>
      <c r="G17" s="12">
        <v>6</v>
      </c>
      <c r="H17" s="8">
        <v>1.05</v>
      </c>
      <c r="I17" s="12">
        <v>0</v>
      </c>
    </row>
    <row r="18" spans="2:9" ht="15" customHeight="1" x14ac:dyDescent="0.2">
      <c r="B18" t="s">
        <v>88</v>
      </c>
      <c r="C18" s="12">
        <v>36</v>
      </c>
      <c r="D18" s="8">
        <v>3.35</v>
      </c>
      <c r="E18" s="12">
        <v>21</v>
      </c>
      <c r="F18" s="8">
        <v>4.24</v>
      </c>
      <c r="G18" s="12">
        <v>12</v>
      </c>
      <c r="H18" s="8">
        <v>2.1</v>
      </c>
      <c r="I18" s="12">
        <v>0</v>
      </c>
    </row>
    <row r="19" spans="2:9" ht="15" customHeight="1" x14ac:dyDescent="0.2">
      <c r="B19" t="s">
        <v>89</v>
      </c>
      <c r="C19" s="12">
        <v>60</v>
      </c>
      <c r="D19" s="8">
        <v>5.59</v>
      </c>
      <c r="E19" s="12">
        <v>29</v>
      </c>
      <c r="F19" s="8">
        <v>5.86</v>
      </c>
      <c r="G19" s="12">
        <v>31</v>
      </c>
      <c r="H19" s="8">
        <v>5.42</v>
      </c>
      <c r="I19" s="12">
        <v>0</v>
      </c>
    </row>
    <row r="20" spans="2:9" ht="15" customHeight="1" x14ac:dyDescent="0.2">
      <c r="B20" s="9" t="s">
        <v>285</v>
      </c>
      <c r="C20" s="12">
        <f>SUM(LTBL_40231[総数／事業所数])</f>
        <v>1074</v>
      </c>
      <c r="E20" s="12">
        <f>SUBTOTAL(109,LTBL_40231[個人／事業所数])</f>
        <v>495</v>
      </c>
      <c r="G20" s="12">
        <f>SUBTOTAL(109,LTBL_40231[法人／事業所数])</f>
        <v>572</v>
      </c>
      <c r="I20" s="12">
        <f>SUBTOTAL(109,LTBL_40231[法人以外の団体／事業所数])</f>
        <v>0</v>
      </c>
    </row>
    <row r="21" spans="2:9" ht="15" customHeight="1" x14ac:dyDescent="0.2">
      <c r="E21" s="11">
        <f>LTBL_40231[[#Totals],[個人／事業所数]]/LTBL_40231[[#Totals],[総数／事業所数]]</f>
        <v>0.46089385474860334</v>
      </c>
      <c r="G21" s="11">
        <f>LTBL_40231[[#Totals],[法人／事業所数]]/LTBL_40231[[#Totals],[総数／事業所数]]</f>
        <v>0.53258845437616387</v>
      </c>
      <c r="I21" s="11">
        <f>LTBL_40231[[#Totals],[法人以外の団体／事業所数]]/LTBL_40231[[#Totals],[総数／事業所数]]</f>
        <v>0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99</v>
      </c>
      <c r="C24" s="12">
        <v>125</v>
      </c>
      <c r="D24" s="8">
        <v>11.64</v>
      </c>
      <c r="E24" s="12">
        <v>49</v>
      </c>
      <c r="F24" s="8">
        <v>9.9</v>
      </c>
      <c r="G24" s="12">
        <v>76</v>
      </c>
      <c r="H24" s="8">
        <v>13.29</v>
      </c>
      <c r="I24" s="12">
        <v>0</v>
      </c>
    </row>
    <row r="25" spans="2:9" ht="15" customHeight="1" x14ac:dyDescent="0.2">
      <c r="B25" t="s">
        <v>113</v>
      </c>
      <c r="C25" s="12">
        <v>96</v>
      </c>
      <c r="D25" s="8">
        <v>8.94</v>
      </c>
      <c r="E25" s="12">
        <v>72</v>
      </c>
      <c r="F25" s="8">
        <v>14.55</v>
      </c>
      <c r="G25" s="12">
        <v>24</v>
      </c>
      <c r="H25" s="8">
        <v>4.2</v>
      </c>
      <c r="I25" s="12">
        <v>0</v>
      </c>
    </row>
    <row r="26" spans="2:9" ht="15" customHeight="1" x14ac:dyDescent="0.2">
      <c r="B26" t="s">
        <v>98</v>
      </c>
      <c r="C26" s="12">
        <v>93</v>
      </c>
      <c r="D26" s="8">
        <v>8.66</v>
      </c>
      <c r="E26" s="12">
        <v>23</v>
      </c>
      <c r="F26" s="8">
        <v>4.6500000000000004</v>
      </c>
      <c r="G26" s="12">
        <v>70</v>
      </c>
      <c r="H26" s="8">
        <v>12.24</v>
      </c>
      <c r="I26" s="12">
        <v>0</v>
      </c>
    </row>
    <row r="27" spans="2:9" ht="15" customHeight="1" x14ac:dyDescent="0.2">
      <c r="B27" t="s">
        <v>112</v>
      </c>
      <c r="C27" s="12">
        <v>79</v>
      </c>
      <c r="D27" s="8">
        <v>7.36</v>
      </c>
      <c r="E27" s="12">
        <v>72</v>
      </c>
      <c r="F27" s="8">
        <v>14.55</v>
      </c>
      <c r="G27" s="12">
        <v>7</v>
      </c>
      <c r="H27" s="8">
        <v>1.22</v>
      </c>
      <c r="I27" s="12">
        <v>0</v>
      </c>
    </row>
    <row r="28" spans="2:9" ht="15" customHeight="1" x14ac:dyDescent="0.2">
      <c r="B28" t="s">
        <v>106</v>
      </c>
      <c r="C28" s="12">
        <v>57</v>
      </c>
      <c r="D28" s="8">
        <v>5.31</v>
      </c>
      <c r="E28" s="12">
        <v>38</v>
      </c>
      <c r="F28" s="8">
        <v>7.68</v>
      </c>
      <c r="G28" s="12">
        <v>19</v>
      </c>
      <c r="H28" s="8">
        <v>3.32</v>
      </c>
      <c r="I28" s="12">
        <v>0</v>
      </c>
    </row>
    <row r="29" spans="2:9" ht="15" customHeight="1" x14ac:dyDescent="0.2">
      <c r="B29" t="s">
        <v>100</v>
      </c>
      <c r="C29" s="12">
        <v>56</v>
      </c>
      <c r="D29" s="8">
        <v>5.21</v>
      </c>
      <c r="E29" s="12">
        <v>11</v>
      </c>
      <c r="F29" s="8">
        <v>2.2200000000000002</v>
      </c>
      <c r="G29" s="12">
        <v>45</v>
      </c>
      <c r="H29" s="8">
        <v>7.87</v>
      </c>
      <c r="I29" s="12">
        <v>0</v>
      </c>
    </row>
    <row r="30" spans="2:9" ht="15" customHeight="1" x14ac:dyDescent="0.2">
      <c r="B30" t="s">
        <v>107</v>
      </c>
      <c r="C30" s="12">
        <v>47</v>
      </c>
      <c r="D30" s="8">
        <v>4.38</v>
      </c>
      <c r="E30" s="12">
        <v>21</v>
      </c>
      <c r="F30" s="8">
        <v>4.24</v>
      </c>
      <c r="G30" s="12">
        <v>26</v>
      </c>
      <c r="H30" s="8">
        <v>4.55</v>
      </c>
      <c r="I30" s="12">
        <v>0</v>
      </c>
    </row>
    <row r="31" spans="2:9" ht="15" customHeight="1" x14ac:dyDescent="0.2">
      <c r="B31" t="s">
        <v>109</v>
      </c>
      <c r="C31" s="12">
        <v>40</v>
      </c>
      <c r="D31" s="8">
        <v>3.72</v>
      </c>
      <c r="E31" s="12">
        <v>1</v>
      </c>
      <c r="F31" s="8">
        <v>0.2</v>
      </c>
      <c r="G31" s="12">
        <v>39</v>
      </c>
      <c r="H31" s="8">
        <v>6.82</v>
      </c>
      <c r="I31" s="12">
        <v>0</v>
      </c>
    </row>
    <row r="32" spans="2:9" ht="15" customHeight="1" x14ac:dyDescent="0.2">
      <c r="B32" t="s">
        <v>105</v>
      </c>
      <c r="C32" s="12">
        <v>38</v>
      </c>
      <c r="D32" s="8">
        <v>3.54</v>
      </c>
      <c r="E32" s="12">
        <v>27</v>
      </c>
      <c r="F32" s="8">
        <v>5.45</v>
      </c>
      <c r="G32" s="12">
        <v>11</v>
      </c>
      <c r="H32" s="8">
        <v>1.92</v>
      </c>
      <c r="I32" s="12">
        <v>0</v>
      </c>
    </row>
    <row r="33" spans="2:9" ht="15" customHeight="1" x14ac:dyDescent="0.2">
      <c r="B33" t="s">
        <v>114</v>
      </c>
      <c r="C33" s="12">
        <v>34</v>
      </c>
      <c r="D33" s="8">
        <v>3.17</v>
      </c>
      <c r="E33" s="12">
        <v>27</v>
      </c>
      <c r="F33" s="8">
        <v>5.45</v>
      </c>
      <c r="G33" s="12">
        <v>6</v>
      </c>
      <c r="H33" s="8">
        <v>1.05</v>
      </c>
      <c r="I33" s="12">
        <v>0</v>
      </c>
    </row>
    <row r="34" spans="2:9" ht="15" customHeight="1" x14ac:dyDescent="0.2">
      <c r="B34" t="s">
        <v>123</v>
      </c>
      <c r="C34" s="12">
        <v>31</v>
      </c>
      <c r="D34" s="8">
        <v>2.89</v>
      </c>
      <c r="E34" s="12">
        <v>25</v>
      </c>
      <c r="F34" s="8">
        <v>5.05</v>
      </c>
      <c r="G34" s="12">
        <v>6</v>
      </c>
      <c r="H34" s="8">
        <v>1.05</v>
      </c>
      <c r="I34" s="12">
        <v>0</v>
      </c>
    </row>
    <row r="35" spans="2:9" ht="15" customHeight="1" x14ac:dyDescent="0.2">
      <c r="B35" t="s">
        <v>110</v>
      </c>
      <c r="C35" s="12">
        <v>28</v>
      </c>
      <c r="D35" s="8">
        <v>2.61</v>
      </c>
      <c r="E35" s="12">
        <v>18</v>
      </c>
      <c r="F35" s="8">
        <v>3.64</v>
      </c>
      <c r="G35" s="12">
        <v>10</v>
      </c>
      <c r="H35" s="8">
        <v>1.75</v>
      </c>
      <c r="I35" s="12">
        <v>0</v>
      </c>
    </row>
    <row r="36" spans="2:9" ht="15" customHeight="1" x14ac:dyDescent="0.2">
      <c r="B36" t="s">
        <v>132</v>
      </c>
      <c r="C36" s="12">
        <v>25</v>
      </c>
      <c r="D36" s="8">
        <v>2.33</v>
      </c>
      <c r="E36" s="12">
        <v>7</v>
      </c>
      <c r="F36" s="8">
        <v>1.41</v>
      </c>
      <c r="G36" s="12">
        <v>18</v>
      </c>
      <c r="H36" s="8">
        <v>3.15</v>
      </c>
      <c r="I36" s="12">
        <v>0</v>
      </c>
    </row>
    <row r="37" spans="2:9" ht="15" customHeight="1" x14ac:dyDescent="0.2">
      <c r="B37" t="s">
        <v>111</v>
      </c>
      <c r="C37" s="12">
        <v>24</v>
      </c>
      <c r="D37" s="8">
        <v>2.23</v>
      </c>
      <c r="E37" s="12">
        <v>8</v>
      </c>
      <c r="F37" s="8">
        <v>1.62</v>
      </c>
      <c r="G37" s="12">
        <v>16</v>
      </c>
      <c r="H37" s="8">
        <v>2.8</v>
      </c>
      <c r="I37" s="12">
        <v>0</v>
      </c>
    </row>
    <row r="38" spans="2:9" ht="15" customHeight="1" x14ac:dyDescent="0.2">
      <c r="B38" t="s">
        <v>131</v>
      </c>
      <c r="C38" s="12">
        <v>21</v>
      </c>
      <c r="D38" s="8">
        <v>1.96</v>
      </c>
      <c r="E38" s="12">
        <v>8</v>
      </c>
      <c r="F38" s="8">
        <v>1.62</v>
      </c>
      <c r="G38" s="12">
        <v>13</v>
      </c>
      <c r="H38" s="8">
        <v>2.27</v>
      </c>
      <c r="I38" s="12">
        <v>0</v>
      </c>
    </row>
    <row r="39" spans="2:9" ht="15" customHeight="1" x14ac:dyDescent="0.2">
      <c r="B39" t="s">
        <v>102</v>
      </c>
      <c r="C39" s="12">
        <v>21</v>
      </c>
      <c r="D39" s="8">
        <v>1.96</v>
      </c>
      <c r="E39" s="12">
        <v>4</v>
      </c>
      <c r="F39" s="8">
        <v>0.81</v>
      </c>
      <c r="G39" s="12">
        <v>17</v>
      </c>
      <c r="H39" s="8">
        <v>2.97</v>
      </c>
      <c r="I39" s="12">
        <v>0</v>
      </c>
    </row>
    <row r="40" spans="2:9" ht="15" customHeight="1" x14ac:dyDescent="0.2">
      <c r="B40" t="s">
        <v>115</v>
      </c>
      <c r="C40" s="12">
        <v>21</v>
      </c>
      <c r="D40" s="8">
        <v>1.96</v>
      </c>
      <c r="E40" s="12">
        <v>21</v>
      </c>
      <c r="F40" s="8">
        <v>4.24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117</v>
      </c>
      <c r="C41" s="12">
        <v>18</v>
      </c>
      <c r="D41" s="8">
        <v>1.68</v>
      </c>
      <c r="E41" s="12">
        <v>3</v>
      </c>
      <c r="F41" s="8">
        <v>0.61</v>
      </c>
      <c r="G41" s="12">
        <v>15</v>
      </c>
      <c r="H41" s="8">
        <v>2.62</v>
      </c>
      <c r="I41" s="12">
        <v>0</v>
      </c>
    </row>
    <row r="42" spans="2:9" ht="15" customHeight="1" x14ac:dyDescent="0.2">
      <c r="B42" t="s">
        <v>103</v>
      </c>
      <c r="C42" s="12">
        <v>16</v>
      </c>
      <c r="D42" s="8">
        <v>1.49</v>
      </c>
      <c r="E42" s="12">
        <v>2</v>
      </c>
      <c r="F42" s="8">
        <v>0.4</v>
      </c>
      <c r="G42" s="12">
        <v>14</v>
      </c>
      <c r="H42" s="8">
        <v>2.4500000000000002</v>
      </c>
      <c r="I42" s="12">
        <v>0</v>
      </c>
    </row>
    <row r="43" spans="2:9" ht="15" customHeight="1" x14ac:dyDescent="0.2">
      <c r="B43" t="s">
        <v>116</v>
      </c>
      <c r="C43" s="12">
        <v>15</v>
      </c>
      <c r="D43" s="8">
        <v>1.4</v>
      </c>
      <c r="E43" s="12">
        <v>0</v>
      </c>
      <c r="F43" s="8">
        <v>0</v>
      </c>
      <c r="G43" s="12">
        <v>12</v>
      </c>
      <c r="H43" s="8">
        <v>2.1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170</v>
      </c>
      <c r="C47" s="12">
        <v>48</v>
      </c>
      <c r="D47" s="8">
        <v>4.47</v>
      </c>
      <c r="E47" s="12">
        <v>41</v>
      </c>
      <c r="F47" s="8">
        <v>8.2799999999999994</v>
      </c>
      <c r="G47" s="12">
        <v>7</v>
      </c>
      <c r="H47" s="8">
        <v>1.22</v>
      </c>
      <c r="I47" s="12">
        <v>0</v>
      </c>
    </row>
    <row r="48" spans="2:9" ht="15" customHeight="1" x14ac:dyDescent="0.2">
      <c r="B48" t="s">
        <v>159</v>
      </c>
      <c r="C48" s="12">
        <v>45</v>
      </c>
      <c r="D48" s="8">
        <v>4.1900000000000004</v>
      </c>
      <c r="E48" s="12">
        <v>30</v>
      </c>
      <c r="F48" s="8">
        <v>6.06</v>
      </c>
      <c r="G48" s="12">
        <v>15</v>
      </c>
      <c r="H48" s="8">
        <v>2.62</v>
      </c>
      <c r="I48" s="12">
        <v>0</v>
      </c>
    </row>
    <row r="49" spans="2:9" ht="15" customHeight="1" x14ac:dyDescent="0.2">
      <c r="B49" t="s">
        <v>203</v>
      </c>
      <c r="C49" s="12">
        <v>31</v>
      </c>
      <c r="D49" s="8">
        <v>2.89</v>
      </c>
      <c r="E49" s="12">
        <v>12</v>
      </c>
      <c r="F49" s="8">
        <v>2.42</v>
      </c>
      <c r="G49" s="12">
        <v>19</v>
      </c>
      <c r="H49" s="8">
        <v>3.32</v>
      </c>
      <c r="I49" s="12">
        <v>0</v>
      </c>
    </row>
    <row r="50" spans="2:9" ht="15" customHeight="1" x14ac:dyDescent="0.2">
      <c r="B50" t="s">
        <v>173</v>
      </c>
      <c r="C50" s="12">
        <v>31</v>
      </c>
      <c r="D50" s="8">
        <v>2.89</v>
      </c>
      <c r="E50" s="12">
        <v>25</v>
      </c>
      <c r="F50" s="8">
        <v>5.05</v>
      </c>
      <c r="G50" s="12">
        <v>6</v>
      </c>
      <c r="H50" s="8">
        <v>1.05</v>
      </c>
      <c r="I50" s="12">
        <v>0</v>
      </c>
    </row>
    <row r="51" spans="2:9" ht="15" customHeight="1" x14ac:dyDescent="0.2">
      <c r="B51" t="s">
        <v>156</v>
      </c>
      <c r="C51" s="12">
        <v>28</v>
      </c>
      <c r="D51" s="8">
        <v>2.61</v>
      </c>
      <c r="E51" s="12">
        <v>5</v>
      </c>
      <c r="F51" s="8">
        <v>1.01</v>
      </c>
      <c r="G51" s="12">
        <v>23</v>
      </c>
      <c r="H51" s="8">
        <v>4.0199999999999996</v>
      </c>
      <c r="I51" s="12">
        <v>0</v>
      </c>
    </row>
    <row r="52" spans="2:9" ht="15" customHeight="1" x14ac:dyDescent="0.2">
      <c r="B52" t="s">
        <v>154</v>
      </c>
      <c r="C52" s="12">
        <v>26</v>
      </c>
      <c r="D52" s="8">
        <v>2.42</v>
      </c>
      <c r="E52" s="12">
        <v>6</v>
      </c>
      <c r="F52" s="8">
        <v>1.21</v>
      </c>
      <c r="G52" s="12">
        <v>20</v>
      </c>
      <c r="H52" s="8">
        <v>3.5</v>
      </c>
      <c r="I52" s="12">
        <v>0</v>
      </c>
    </row>
    <row r="53" spans="2:9" ht="15" customHeight="1" x14ac:dyDescent="0.2">
      <c r="B53" t="s">
        <v>202</v>
      </c>
      <c r="C53" s="12">
        <v>25</v>
      </c>
      <c r="D53" s="8">
        <v>2.33</v>
      </c>
      <c r="E53" s="12">
        <v>11</v>
      </c>
      <c r="F53" s="8">
        <v>2.2200000000000002</v>
      </c>
      <c r="G53" s="12">
        <v>14</v>
      </c>
      <c r="H53" s="8">
        <v>2.4500000000000002</v>
      </c>
      <c r="I53" s="12">
        <v>0</v>
      </c>
    </row>
    <row r="54" spans="2:9" ht="15" customHeight="1" x14ac:dyDescent="0.2">
      <c r="B54" t="s">
        <v>166</v>
      </c>
      <c r="C54" s="12">
        <v>25</v>
      </c>
      <c r="D54" s="8">
        <v>2.33</v>
      </c>
      <c r="E54" s="12">
        <v>22</v>
      </c>
      <c r="F54" s="8">
        <v>4.4400000000000004</v>
      </c>
      <c r="G54" s="12">
        <v>3</v>
      </c>
      <c r="H54" s="8">
        <v>0.52</v>
      </c>
      <c r="I54" s="12">
        <v>0</v>
      </c>
    </row>
    <row r="55" spans="2:9" ht="15" customHeight="1" x14ac:dyDescent="0.2">
      <c r="B55" t="s">
        <v>186</v>
      </c>
      <c r="C55" s="12">
        <v>24</v>
      </c>
      <c r="D55" s="8">
        <v>2.23</v>
      </c>
      <c r="E55" s="12">
        <v>11</v>
      </c>
      <c r="F55" s="8">
        <v>2.2200000000000002</v>
      </c>
      <c r="G55" s="12">
        <v>13</v>
      </c>
      <c r="H55" s="8">
        <v>2.27</v>
      </c>
      <c r="I55" s="12">
        <v>0</v>
      </c>
    </row>
    <row r="56" spans="2:9" ht="15" customHeight="1" x14ac:dyDescent="0.2">
      <c r="B56" t="s">
        <v>169</v>
      </c>
      <c r="C56" s="12">
        <v>24</v>
      </c>
      <c r="D56" s="8">
        <v>2.23</v>
      </c>
      <c r="E56" s="12">
        <v>23</v>
      </c>
      <c r="F56" s="8">
        <v>4.6500000000000004</v>
      </c>
      <c r="G56" s="12">
        <v>1</v>
      </c>
      <c r="H56" s="8">
        <v>0.17</v>
      </c>
      <c r="I56" s="12">
        <v>0</v>
      </c>
    </row>
    <row r="57" spans="2:9" ht="15" customHeight="1" x14ac:dyDescent="0.2">
      <c r="B57" t="s">
        <v>171</v>
      </c>
      <c r="C57" s="12">
        <v>24</v>
      </c>
      <c r="D57" s="8">
        <v>2.23</v>
      </c>
      <c r="E57" s="12">
        <v>20</v>
      </c>
      <c r="F57" s="8">
        <v>4.04</v>
      </c>
      <c r="G57" s="12">
        <v>4</v>
      </c>
      <c r="H57" s="8">
        <v>0.7</v>
      </c>
      <c r="I57" s="12">
        <v>0</v>
      </c>
    </row>
    <row r="58" spans="2:9" ht="15" customHeight="1" x14ac:dyDescent="0.2">
      <c r="B58" t="s">
        <v>155</v>
      </c>
      <c r="C58" s="12">
        <v>23</v>
      </c>
      <c r="D58" s="8">
        <v>2.14</v>
      </c>
      <c r="E58" s="12">
        <v>2</v>
      </c>
      <c r="F58" s="8">
        <v>0.4</v>
      </c>
      <c r="G58" s="12">
        <v>21</v>
      </c>
      <c r="H58" s="8">
        <v>3.67</v>
      </c>
      <c r="I58" s="12">
        <v>0</v>
      </c>
    </row>
    <row r="59" spans="2:9" ht="15" customHeight="1" x14ac:dyDescent="0.2">
      <c r="B59" t="s">
        <v>164</v>
      </c>
      <c r="C59" s="12">
        <v>23</v>
      </c>
      <c r="D59" s="8">
        <v>2.14</v>
      </c>
      <c r="E59" s="12">
        <v>1</v>
      </c>
      <c r="F59" s="8">
        <v>0.2</v>
      </c>
      <c r="G59" s="12">
        <v>22</v>
      </c>
      <c r="H59" s="8">
        <v>3.85</v>
      </c>
      <c r="I59" s="12">
        <v>0</v>
      </c>
    </row>
    <row r="60" spans="2:9" ht="15" customHeight="1" x14ac:dyDescent="0.2">
      <c r="B60" t="s">
        <v>229</v>
      </c>
      <c r="C60" s="12">
        <v>21</v>
      </c>
      <c r="D60" s="8">
        <v>1.96</v>
      </c>
      <c r="E60" s="12">
        <v>6</v>
      </c>
      <c r="F60" s="8">
        <v>1.21</v>
      </c>
      <c r="G60" s="12">
        <v>15</v>
      </c>
      <c r="H60" s="8">
        <v>2.62</v>
      </c>
      <c r="I60" s="12">
        <v>0</v>
      </c>
    </row>
    <row r="61" spans="2:9" ht="15" customHeight="1" x14ac:dyDescent="0.2">
      <c r="B61" t="s">
        <v>167</v>
      </c>
      <c r="C61" s="12">
        <v>19</v>
      </c>
      <c r="D61" s="8">
        <v>1.77</v>
      </c>
      <c r="E61" s="12">
        <v>19</v>
      </c>
      <c r="F61" s="8">
        <v>3.84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161</v>
      </c>
      <c r="C62" s="12">
        <v>18</v>
      </c>
      <c r="D62" s="8">
        <v>1.68</v>
      </c>
      <c r="E62" s="12">
        <v>14</v>
      </c>
      <c r="F62" s="8">
        <v>2.83</v>
      </c>
      <c r="G62" s="12">
        <v>4</v>
      </c>
      <c r="H62" s="8">
        <v>0.7</v>
      </c>
      <c r="I62" s="12">
        <v>0</v>
      </c>
    </row>
    <row r="63" spans="2:9" ht="15" customHeight="1" x14ac:dyDescent="0.2">
      <c r="B63" t="s">
        <v>182</v>
      </c>
      <c r="C63" s="12">
        <v>18</v>
      </c>
      <c r="D63" s="8">
        <v>1.68</v>
      </c>
      <c r="E63" s="12">
        <v>5</v>
      </c>
      <c r="F63" s="8">
        <v>1.01</v>
      </c>
      <c r="G63" s="12">
        <v>13</v>
      </c>
      <c r="H63" s="8">
        <v>2.27</v>
      </c>
      <c r="I63" s="12">
        <v>0</v>
      </c>
    </row>
    <row r="64" spans="2:9" ht="15" customHeight="1" x14ac:dyDescent="0.2">
      <c r="B64" t="s">
        <v>187</v>
      </c>
      <c r="C64" s="12">
        <v>17</v>
      </c>
      <c r="D64" s="8">
        <v>1.58</v>
      </c>
      <c r="E64" s="12">
        <v>4</v>
      </c>
      <c r="F64" s="8">
        <v>0.81</v>
      </c>
      <c r="G64" s="12">
        <v>13</v>
      </c>
      <c r="H64" s="8">
        <v>2.27</v>
      </c>
      <c r="I64" s="12">
        <v>0</v>
      </c>
    </row>
    <row r="65" spans="2:9" ht="15" customHeight="1" x14ac:dyDescent="0.2">
      <c r="B65" t="s">
        <v>228</v>
      </c>
      <c r="C65" s="12">
        <v>17</v>
      </c>
      <c r="D65" s="8">
        <v>1.58</v>
      </c>
      <c r="E65" s="12">
        <v>9</v>
      </c>
      <c r="F65" s="8">
        <v>1.82</v>
      </c>
      <c r="G65" s="12">
        <v>8</v>
      </c>
      <c r="H65" s="8">
        <v>1.4</v>
      </c>
      <c r="I65" s="12">
        <v>0</v>
      </c>
    </row>
    <row r="66" spans="2:9" ht="15" customHeight="1" x14ac:dyDescent="0.2">
      <c r="B66" t="s">
        <v>160</v>
      </c>
      <c r="C66" s="12">
        <v>16</v>
      </c>
      <c r="D66" s="8">
        <v>1.49</v>
      </c>
      <c r="E66" s="12">
        <v>2</v>
      </c>
      <c r="F66" s="8">
        <v>0.4</v>
      </c>
      <c r="G66" s="12">
        <v>14</v>
      </c>
      <c r="H66" s="8">
        <v>2.4500000000000002</v>
      </c>
      <c r="I66" s="12">
        <v>0</v>
      </c>
    </row>
    <row r="67" spans="2:9" ht="15" customHeight="1" x14ac:dyDescent="0.2">
      <c r="B67" t="s">
        <v>165</v>
      </c>
      <c r="C67" s="12">
        <v>16</v>
      </c>
      <c r="D67" s="8">
        <v>1.49</v>
      </c>
      <c r="E67" s="12">
        <v>5</v>
      </c>
      <c r="F67" s="8">
        <v>1.01</v>
      </c>
      <c r="G67" s="12">
        <v>11</v>
      </c>
      <c r="H67" s="8">
        <v>1.92</v>
      </c>
      <c r="I67" s="12">
        <v>0</v>
      </c>
    </row>
    <row r="68" spans="2:9" ht="15" customHeight="1" x14ac:dyDescent="0.2">
      <c r="B68" t="s">
        <v>168</v>
      </c>
      <c r="C68" s="12">
        <v>16</v>
      </c>
      <c r="D68" s="8">
        <v>1.49</v>
      </c>
      <c r="E68" s="12">
        <v>15</v>
      </c>
      <c r="F68" s="8">
        <v>3.03</v>
      </c>
      <c r="G68" s="12">
        <v>1</v>
      </c>
      <c r="H68" s="8">
        <v>0.17</v>
      </c>
      <c r="I68" s="12">
        <v>0</v>
      </c>
    </row>
    <row r="70" spans="2:9" ht="15" customHeight="1" x14ac:dyDescent="0.2">
      <c r="B70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DFFA4-39E3-4D73-9211-2D44AD91335B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332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189</v>
      </c>
      <c r="D6" s="8">
        <v>24.26</v>
      </c>
      <c r="E6" s="12">
        <v>76</v>
      </c>
      <c r="F6" s="8">
        <v>20.54</v>
      </c>
      <c r="G6" s="12">
        <v>113</v>
      </c>
      <c r="H6" s="8">
        <v>28.18</v>
      </c>
      <c r="I6" s="12">
        <v>0</v>
      </c>
    </row>
    <row r="7" spans="2:9" ht="15" customHeight="1" x14ac:dyDescent="0.2">
      <c r="B7" t="s">
        <v>77</v>
      </c>
      <c r="C7" s="12">
        <v>118</v>
      </c>
      <c r="D7" s="8">
        <v>15.15</v>
      </c>
      <c r="E7" s="12">
        <v>36</v>
      </c>
      <c r="F7" s="8">
        <v>9.73</v>
      </c>
      <c r="G7" s="12">
        <v>82</v>
      </c>
      <c r="H7" s="8">
        <v>20.45</v>
      </c>
      <c r="I7" s="12">
        <v>0</v>
      </c>
    </row>
    <row r="8" spans="2:9" ht="15" customHeight="1" x14ac:dyDescent="0.2">
      <c r="B8" t="s">
        <v>78</v>
      </c>
      <c r="C8" s="12">
        <v>2</v>
      </c>
      <c r="D8" s="8">
        <v>0.26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4</v>
      </c>
      <c r="D9" s="8">
        <v>0.51</v>
      </c>
      <c r="E9" s="12">
        <v>0</v>
      </c>
      <c r="F9" s="8">
        <v>0</v>
      </c>
      <c r="G9" s="12">
        <v>4</v>
      </c>
      <c r="H9" s="8">
        <v>1</v>
      </c>
      <c r="I9" s="12">
        <v>0</v>
      </c>
    </row>
    <row r="10" spans="2:9" ht="15" customHeight="1" x14ac:dyDescent="0.2">
      <c r="B10" t="s">
        <v>80</v>
      </c>
      <c r="C10" s="12">
        <v>30</v>
      </c>
      <c r="D10" s="8">
        <v>3.85</v>
      </c>
      <c r="E10" s="12">
        <v>14</v>
      </c>
      <c r="F10" s="8">
        <v>3.78</v>
      </c>
      <c r="G10" s="12">
        <v>16</v>
      </c>
      <c r="H10" s="8">
        <v>3.99</v>
      </c>
      <c r="I10" s="12">
        <v>0</v>
      </c>
    </row>
    <row r="11" spans="2:9" ht="15" customHeight="1" x14ac:dyDescent="0.2">
      <c r="B11" t="s">
        <v>81</v>
      </c>
      <c r="C11" s="12">
        <v>136</v>
      </c>
      <c r="D11" s="8">
        <v>17.46</v>
      </c>
      <c r="E11" s="12">
        <v>58</v>
      </c>
      <c r="F11" s="8">
        <v>15.68</v>
      </c>
      <c r="G11" s="12">
        <v>78</v>
      </c>
      <c r="H11" s="8">
        <v>19.45</v>
      </c>
      <c r="I11" s="12">
        <v>0</v>
      </c>
    </row>
    <row r="12" spans="2:9" ht="15" customHeight="1" x14ac:dyDescent="0.2">
      <c r="B12" t="s">
        <v>82</v>
      </c>
      <c r="C12" s="12">
        <v>8</v>
      </c>
      <c r="D12" s="8">
        <v>1.03</v>
      </c>
      <c r="E12" s="12">
        <v>2</v>
      </c>
      <c r="F12" s="8">
        <v>0.54</v>
      </c>
      <c r="G12" s="12">
        <v>6</v>
      </c>
      <c r="H12" s="8">
        <v>1.5</v>
      </c>
      <c r="I12" s="12">
        <v>0</v>
      </c>
    </row>
    <row r="13" spans="2:9" ht="15" customHeight="1" x14ac:dyDescent="0.2">
      <c r="B13" t="s">
        <v>83</v>
      </c>
      <c r="C13" s="12">
        <v>48</v>
      </c>
      <c r="D13" s="8">
        <v>6.16</v>
      </c>
      <c r="E13" s="12">
        <v>20</v>
      </c>
      <c r="F13" s="8">
        <v>5.41</v>
      </c>
      <c r="G13" s="12">
        <v>28</v>
      </c>
      <c r="H13" s="8">
        <v>6.98</v>
      </c>
      <c r="I13" s="12">
        <v>0</v>
      </c>
    </row>
    <row r="14" spans="2:9" ht="15" customHeight="1" x14ac:dyDescent="0.2">
      <c r="B14" t="s">
        <v>84</v>
      </c>
      <c r="C14" s="12">
        <v>44</v>
      </c>
      <c r="D14" s="8">
        <v>5.65</v>
      </c>
      <c r="E14" s="12">
        <v>25</v>
      </c>
      <c r="F14" s="8">
        <v>6.76</v>
      </c>
      <c r="G14" s="12">
        <v>19</v>
      </c>
      <c r="H14" s="8">
        <v>4.74</v>
      </c>
      <c r="I14" s="12">
        <v>0</v>
      </c>
    </row>
    <row r="15" spans="2:9" ht="15" customHeight="1" x14ac:dyDescent="0.2">
      <c r="B15" t="s">
        <v>85</v>
      </c>
      <c r="C15" s="12">
        <v>44</v>
      </c>
      <c r="D15" s="8">
        <v>5.65</v>
      </c>
      <c r="E15" s="12">
        <v>33</v>
      </c>
      <c r="F15" s="8">
        <v>8.92</v>
      </c>
      <c r="G15" s="12">
        <v>11</v>
      </c>
      <c r="H15" s="8">
        <v>2.74</v>
      </c>
      <c r="I15" s="12">
        <v>0</v>
      </c>
    </row>
    <row r="16" spans="2:9" ht="15" customHeight="1" x14ac:dyDescent="0.2">
      <c r="B16" t="s">
        <v>86</v>
      </c>
      <c r="C16" s="12">
        <v>62</v>
      </c>
      <c r="D16" s="8">
        <v>7.96</v>
      </c>
      <c r="E16" s="12">
        <v>51</v>
      </c>
      <c r="F16" s="8">
        <v>13.78</v>
      </c>
      <c r="G16" s="12">
        <v>11</v>
      </c>
      <c r="H16" s="8">
        <v>2.74</v>
      </c>
      <c r="I16" s="12">
        <v>0</v>
      </c>
    </row>
    <row r="17" spans="2:9" ht="15" customHeight="1" x14ac:dyDescent="0.2">
      <c r="B17" t="s">
        <v>87</v>
      </c>
      <c r="C17" s="12">
        <v>26</v>
      </c>
      <c r="D17" s="8">
        <v>3.34</v>
      </c>
      <c r="E17" s="12">
        <v>22</v>
      </c>
      <c r="F17" s="8">
        <v>5.95</v>
      </c>
      <c r="G17" s="12">
        <v>3</v>
      </c>
      <c r="H17" s="8">
        <v>0.75</v>
      </c>
      <c r="I17" s="12">
        <v>0</v>
      </c>
    </row>
    <row r="18" spans="2:9" ht="15" customHeight="1" x14ac:dyDescent="0.2">
      <c r="B18" t="s">
        <v>88</v>
      </c>
      <c r="C18" s="12">
        <v>27</v>
      </c>
      <c r="D18" s="8">
        <v>3.47</v>
      </c>
      <c r="E18" s="12">
        <v>13</v>
      </c>
      <c r="F18" s="8">
        <v>3.51</v>
      </c>
      <c r="G18" s="12">
        <v>11</v>
      </c>
      <c r="H18" s="8">
        <v>2.74</v>
      </c>
      <c r="I18" s="12">
        <v>1</v>
      </c>
    </row>
    <row r="19" spans="2:9" ht="15" customHeight="1" x14ac:dyDescent="0.2">
      <c r="B19" t="s">
        <v>89</v>
      </c>
      <c r="C19" s="12">
        <v>41</v>
      </c>
      <c r="D19" s="8">
        <v>5.26</v>
      </c>
      <c r="E19" s="12">
        <v>20</v>
      </c>
      <c r="F19" s="8">
        <v>5.41</v>
      </c>
      <c r="G19" s="12">
        <v>19</v>
      </c>
      <c r="H19" s="8">
        <v>4.74</v>
      </c>
      <c r="I19" s="12">
        <v>0</v>
      </c>
    </row>
    <row r="20" spans="2:9" ht="15" customHeight="1" x14ac:dyDescent="0.2">
      <c r="B20" s="9" t="s">
        <v>285</v>
      </c>
      <c r="C20" s="12">
        <f>SUM(LTBL_40341[総数／事業所数])</f>
        <v>779</v>
      </c>
      <c r="E20" s="12">
        <f>SUBTOTAL(109,LTBL_40341[個人／事業所数])</f>
        <v>370</v>
      </c>
      <c r="G20" s="12">
        <f>SUBTOTAL(109,LTBL_40341[法人／事業所数])</f>
        <v>401</v>
      </c>
      <c r="I20" s="12">
        <f>SUBTOTAL(109,LTBL_40341[法人以外の団体／事業所数])</f>
        <v>1</v>
      </c>
    </row>
    <row r="21" spans="2:9" ht="15" customHeight="1" x14ac:dyDescent="0.2">
      <c r="E21" s="11">
        <f>LTBL_40341[[#Totals],[個人／事業所数]]/LTBL_40341[[#Totals],[総数／事業所数]]</f>
        <v>0.47496790757381258</v>
      </c>
      <c r="G21" s="11">
        <f>LTBL_40341[[#Totals],[法人／事業所数]]/LTBL_40341[[#Totals],[総数／事業所数]]</f>
        <v>0.51476251604621315</v>
      </c>
      <c r="I21" s="11">
        <f>LTBL_40341[[#Totals],[法人以外の団体／事業所数]]/LTBL_40341[[#Totals],[総数／事業所数]]</f>
        <v>1.2836970474967907E-3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98</v>
      </c>
      <c r="C24" s="12">
        <v>70</v>
      </c>
      <c r="D24" s="8">
        <v>8.99</v>
      </c>
      <c r="E24" s="12">
        <v>23</v>
      </c>
      <c r="F24" s="8">
        <v>6.22</v>
      </c>
      <c r="G24" s="12">
        <v>47</v>
      </c>
      <c r="H24" s="8">
        <v>11.72</v>
      </c>
      <c r="I24" s="12">
        <v>0</v>
      </c>
    </row>
    <row r="25" spans="2:9" ht="15" customHeight="1" x14ac:dyDescent="0.2">
      <c r="B25" t="s">
        <v>99</v>
      </c>
      <c r="C25" s="12">
        <v>63</v>
      </c>
      <c r="D25" s="8">
        <v>8.09</v>
      </c>
      <c r="E25" s="12">
        <v>33</v>
      </c>
      <c r="F25" s="8">
        <v>8.92</v>
      </c>
      <c r="G25" s="12">
        <v>30</v>
      </c>
      <c r="H25" s="8">
        <v>7.48</v>
      </c>
      <c r="I25" s="12">
        <v>0</v>
      </c>
    </row>
    <row r="26" spans="2:9" ht="15" customHeight="1" x14ac:dyDescent="0.2">
      <c r="B26" t="s">
        <v>100</v>
      </c>
      <c r="C26" s="12">
        <v>56</v>
      </c>
      <c r="D26" s="8">
        <v>7.19</v>
      </c>
      <c r="E26" s="12">
        <v>20</v>
      </c>
      <c r="F26" s="8">
        <v>5.41</v>
      </c>
      <c r="G26" s="12">
        <v>36</v>
      </c>
      <c r="H26" s="8">
        <v>8.98</v>
      </c>
      <c r="I26" s="12">
        <v>0</v>
      </c>
    </row>
    <row r="27" spans="2:9" ht="15" customHeight="1" x14ac:dyDescent="0.2">
      <c r="B27" t="s">
        <v>113</v>
      </c>
      <c r="C27" s="12">
        <v>51</v>
      </c>
      <c r="D27" s="8">
        <v>6.55</v>
      </c>
      <c r="E27" s="12">
        <v>43</v>
      </c>
      <c r="F27" s="8">
        <v>11.62</v>
      </c>
      <c r="G27" s="12">
        <v>8</v>
      </c>
      <c r="H27" s="8">
        <v>2</v>
      </c>
      <c r="I27" s="12">
        <v>0</v>
      </c>
    </row>
    <row r="28" spans="2:9" ht="15" customHeight="1" x14ac:dyDescent="0.2">
      <c r="B28" t="s">
        <v>112</v>
      </c>
      <c r="C28" s="12">
        <v>37</v>
      </c>
      <c r="D28" s="8">
        <v>4.75</v>
      </c>
      <c r="E28" s="12">
        <v>31</v>
      </c>
      <c r="F28" s="8">
        <v>8.3800000000000008</v>
      </c>
      <c r="G28" s="12">
        <v>6</v>
      </c>
      <c r="H28" s="8">
        <v>1.5</v>
      </c>
      <c r="I28" s="12">
        <v>0</v>
      </c>
    </row>
    <row r="29" spans="2:9" ht="15" customHeight="1" x14ac:dyDescent="0.2">
      <c r="B29" t="s">
        <v>109</v>
      </c>
      <c r="C29" s="12">
        <v>34</v>
      </c>
      <c r="D29" s="8">
        <v>4.3600000000000003</v>
      </c>
      <c r="E29" s="12">
        <v>14</v>
      </c>
      <c r="F29" s="8">
        <v>3.78</v>
      </c>
      <c r="G29" s="12">
        <v>20</v>
      </c>
      <c r="H29" s="8">
        <v>4.99</v>
      </c>
      <c r="I29" s="12">
        <v>0</v>
      </c>
    </row>
    <row r="30" spans="2:9" ht="15" customHeight="1" x14ac:dyDescent="0.2">
      <c r="B30" t="s">
        <v>119</v>
      </c>
      <c r="C30" s="12">
        <v>28</v>
      </c>
      <c r="D30" s="8">
        <v>3.59</v>
      </c>
      <c r="E30" s="12">
        <v>7</v>
      </c>
      <c r="F30" s="8">
        <v>1.89</v>
      </c>
      <c r="G30" s="12">
        <v>21</v>
      </c>
      <c r="H30" s="8">
        <v>5.24</v>
      </c>
      <c r="I30" s="12">
        <v>0</v>
      </c>
    </row>
    <row r="31" spans="2:9" ht="15" customHeight="1" x14ac:dyDescent="0.2">
      <c r="B31" t="s">
        <v>111</v>
      </c>
      <c r="C31" s="12">
        <v>28</v>
      </c>
      <c r="D31" s="8">
        <v>3.59</v>
      </c>
      <c r="E31" s="12">
        <v>16</v>
      </c>
      <c r="F31" s="8">
        <v>4.32</v>
      </c>
      <c r="G31" s="12">
        <v>12</v>
      </c>
      <c r="H31" s="8">
        <v>2.99</v>
      </c>
      <c r="I31" s="12">
        <v>0</v>
      </c>
    </row>
    <row r="32" spans="2:9" ht="15" customHeight="1" x14ac:dyDescent="0.2">
      <c r="B32" t="s">
        <v>107</v>
      </c>
      <c r="C32" s="12">
        <v>27</v>
      </c>
      <c r="D32" s="8">
        <v>3.47</v>
      </c>
      <c r="E32" s="12">
        <v>16</v>
      </c>
      <c r="F32" s="8">
        <v>4.32</v>
      </c>
      <c r="G32" s="12">
        <v>11</v>
      </c>
      <c r="H32" s="8">
        <v>2.74</v>
      </c>
      <c r="I32" s="12">
        <v>0</v>
      </c>
    </row>
    <row r="33" spans="2:9" ht="15" customHeight="1" x14ac:dyDescent="0.2">
      <c r="B33" t="s">
        <v>106</v>
      </c>
      <c r="C33" s="12">
        <v>26</v>
      </c>
      <c r="D33" s="8">
        <v>3.34</v>
      </c>
      <c r="E33" s="12">
        <v>16</v>
      </c>
      <c r="F33" s="8">
        <v>4.32</v>
      </c>
      <c r="G33" s="12">
        <v>10</v>
      </c>
      <c r="H33" s="8">
        <v>2.4900000000000002</v>
      </c>
      <c r="I33" s="12">
        <v>0</v>
      </c>
    </row>
    <row r="34" spans="2:9" ht="15" customHeight="1" x14ac:dyDescent="0.2">
      <c r="B34" t="s">
        <v>114</v>
      </c>
      <c r="C34" s="12">
        <v>26</v>
      </c>
      <c r="D34" s="8">
        <v>3.34</v>
      </c>
      <c r="E34" s="12">
        <v>22</v>
      </c>
      <c r="F34" s="8">
        <v>5.95</v>
      </c>
      <c r="G34" s="12">
        <v>3</v>
      </c>
      <c r="H34" s="8">
        <v>0.75</v>
      </c>
      <c r="I34" s="12">
        <v>0</v>
      </c>
    </row>
    <row r="35" spans="2:9" ht="15" customHeight="1" x14ac:dyDescent="0.2">
      <c r="B35" t="s">
        <v>131</v>
      </c>
      <c r="C35" s="12">
        <v>21</v>
      </c>
      <c r="D35" s="8">
        <v>2.7</v>
      </c>
      <c r="E35" s="12">
        <v>13</v>
      </c>
      <c r="F35" s="8">
        <v>3.51</v>
      </c>
      <c r="G35" s="12">
        <v>8</v>
      </c>
      <c r="H35" s="8">
        <v>2</v>
      </c>
      <c r="I35" s="12">
        <v>0</v>
      </c>
    </row>
    <row r="36" spans="2:9" ht="15" customHeight="1" x14ac:dyDescent="0.2">
      <c r="B36" t="s">
        <v>105</v>
      </c>
      <c r="C36" s="12">
        <v>19</v>
      </c>
      <c r="D36" s="8">
        <v>2.44</v>
      </c>
      <c r="E36" s="12">
        <v>12</v>
      </c>
      <c r="F36" s="8">
        <v>3.24</v>
      </c>
      <c r="G36" s="12">
        <v>7</v>
      </c>
      <c r="H36" s="8">
        <v>1.75</v>
      </c>
      <c r="I36" s="12">
        <v>0</v>
      </c>
    </row>
    <row r="37" spans="2:9" ht="15" customHeight="1" x14ac:dyDescent="0.2">
      <c r="B37" t="s">
        <v>102</v>
      </c>
      <c r="C37" s="12">
        <v>16</v>
      </c>
      <c r="D37" s="8">
        <v>2.0499999999999998</v>
      </c>
      <c r="E37" s="12">
        <v>4</v>
      </c>
      <c r="F37" s="8">
        <v>1.08</v>
      </c>
      <c r="G37" s="12">
        <v>12</v>
      </c>
      <c r="H37" s="8">
        <v>2.99</v>
      </c>
      <c r="I37" s="12">
        <v>0</v>
      </c>
    </row>
    <row r="38" spans="2:9" ht="15" customHeight="1" x14ac:dyDescent="0.2">
      <c r="B38" t="s">
        <v>115</v>
      </c>
      <c r="C38" s="12">
        <v>15</v>
      </c>
      <c r="D38" s="8">
        <v>1.93</v>
      </c>
      <c r="E38" s="12">
        <v>12</v>
      </c>
      <c r="F38" s="8">
        <v>3.24</v>
      </c>
      <c r="G38" s="12">
        <v>3</v>
      </c>
      <c r="H38" s="8">
        <v>0.75</v>
      </c>
      <c r="I38" s="12">
        <v>0</v>
      </c>
    </row>
    <row r="39" spans="2:9" ht="15" customHeight="1" x14ac:dyDescent="0.2">
      <c r="B39" t="s">
        <v>110</v>
      </c>
      <c r="C39" s="12">
        <v>14</v>
      </c>
      <c r="D39" s="8">
        <v>1.8</v>
      </c>
      <c r="E39" s="12">
        <v>9</v>
      </c>
      <c r="F39" s="8">
        <v>2.4300000000000002</v>
      </c>
      <c r="G39" s="12">
        <v>5</v>
      </c>
      <c r="H39" s="8">
        <v>1.25</v>
      </c>
      <c r="I39" s="12">
        <v>0</v>
      </c>
    </row>
    <row r="40" spans="2:9" ht="15" customHeight="1" x14ac:dyDescent="0.2">
      <c r="B40" t="s">
        <v>103</v>
      </c>
      <c r="C40" s="12">
        <v>13</v>
      </c>
      <c r="D40" s="8">
        <v>1.67</v>
      </c>
      <c r="E40" s="12">
        <v>2</v>
      </c>
      <c r="F40" s="8">
        <v>0.54</v>
      </c>
      <c r="G40" s="12">
        <v>11</v>
      </c>
      <c r="H40" s="8">
        <v>2.74</v>
      </c>
      <c r="I40" s="12">
        <v>0</v>
      </c>
    </row>
    <row r="41" spans="2:9" ht="15" customHeight="1" x14ac:dyDescent="0.2">
      <c r="B41" t="s">
        <v>123</v>
      </c>
      <c r="C41" s="12">
        <v>13</v>
      </c>
      <c r="D41" s="8">
        <v>1.67</v>
      </c>
      <c r="E41" s="12">
        <v>11</v>
      </c>
      <c r="F41" s="8">
        <v>2.97</v>
      </c>
      <c r="G41" s="12">
        <v>2</v>
      </c>
      <c r="H41" s="8">
        <v>0.5</v>
      </c>
      <c r="I41" s="12">
        <v>0</v>
      </c>
    </row>
    <row r="42" spans="2:9" ht="15" customHeight="1" x14ac:dyDescent="0.2">
      <c r="B42" t="s">
        <v>138</v>
      </c>
      <c r="C42" s="12">
        <v>12</v>
      </c>
      <c r="D42" s="8">
        <v>1.54</v>
      </c>
      <c r="E42" s="12">
        <v>12</v>
      </c>
      <c r="F42" s="8">
        <v>3.24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116</v>
      </c>
      <c r="C43" s="12">
        <v>12</v>
      </c>
      <c r="D43" s="8">
        <v>1.54</v>
      </c>
      <c r="E43" s="12">
        <v>1</v>
      </c>
      <c r="F43" s="8">
        <v>0.27</v>
      </c>
      <c r="G43" s="12">
        <v>8</v>
      </c>
      <c r="H43" s="8">
        <v>2</v>
      </c>
      <c r="I43" s="12">
        <v>1</v>
      </c>
    </row>
    <row r="44" spans="2:9" ht="15" customHeight="1" x14ac:dyDescent="0.2">
      <c r="B44" t="s">
        <v>139</v>
      </c>
      <c r="C44" s="12">
        <v>12</v>
      </c>
      <c r="D44" s="8">
        <v>1.54</v>
      </c>
      <c r="E44" s="12">
        <v>7</v>
      </c>
      <c r="F44" s="8">
        <v>1.89</v>
      </c>
      <c r="G44" s="12">
        <v>5</v>
      </c>
      <c r="H44" s="8">
        <v>1.25</v>
      </c>
      <c r="I44" s="12">
        <v>0</v>
      </c>
    </row>
    <row r="47" spans="2:9" ht="33" customHeight="1" x14ac:dyDescent="0.2">
      <c r="B47" t="s">
        <v>287</v>
      </c>
      <c r="C47" s="10" t="s">
        <v>91</v>
      </c>
      <c r="D47" s="10" t="s">
        <v>92</v>
      </c>
      <c r="E47" s="10" t="s">
        <v>93</v>
      </c>
      <c r="F47" s="10" t="s">
        <v>94</v>
      </c>
      <c r="G47" s="10" t="s">
        <v>95</v>
      </c>
      <c r="H47" s="10" t="s">
        <v>96</v>
      </c>
      <c r="I47" s="10" t="s">
        <v>97</v>
      </c>
    </row>
    <row r="48" spans="2:9" ht="15" customHeight="1" x14ac:dyDescent="0.2">
      <c r="B48" t="s">
        <v>174</v>
      </c>
      <c r="C48" s="12">
        <v>32</v>
      </c>
      <c r="D48" s="8">
        <v>4.1100000000000003</v>
      </c>
      <c r="E48" s="12">
        <v>13</v>
      </c>
      <c r="F48" s="8">
        <v>3.51</v>
      </c>
      <c r="G48" s="12">
        <v>19</v>
      </c>
      <c r="H48" s="8">
        <v>4.74</v>
      </c>
      <c r="I48" s="12">
        <v>0</v>
      </c>
    </row>
    <row r="49" spans="2:9" ht="15" customHeight="1" x14ac:dyDescent="0.2">
      <c r="B49" t="s">
        <v>170</v>
      </c>
      <c r="C49" s="12">
        <v>23</v>
      </c>
      <c r="D49" s="8">
        <v>2.95</v>
      </c>
      <c r="E49" s="12">
        <v>19</v>
      </c>
      <c r="F49" s="8">
        <v>5.14</v>
      </c>
      <c r="G49" s="12">
        <v>4</v>
      </c>
      <c r="H49" s="8">
        <v>1</v>
      </c>
      <c r="I49" s="12">
        <v>0</v>
      </c>
    </row>
    <row r="50" spans="2:9" ht="15" customHeight="1" x14ac:dyDescent="0.2">
      <c r="B50" t="s">
        <v>154</v>
      </c>
      <c r="C50" s="12">
        <v>21</v>
      </c>
      <c r="D50" s="8">
        <v>2.7</v>
      </c>
      <c r="E50" s="12">
        <v>5</v>
      </c>
      <c r="F50" s="8">
        <v>1.35</v>
      </c>
      <c r="G50" s="12">
        <v>16</v>
      </c>
      <c r="H50" s="8">
        <v>3.99</v>
      </c>
      <c r="I50" s="12">
        <v>0</v>
      </c>
    </row>
    <row r="51" spans="2:9" ht="15" customHeight="1" x14ac:dyDescent="0.2">
      <c r="B51" t="s">
        <v>159</v>
      </c>
      <c r="C51" s="12">
        <v>21</v>
      </c>
      <c r="D51" s="8">
        <v>2.7</v>
      </c>
      <c r="E51" s="12">
        <v>12</v>
      </c>
      <c r="F51" s="8">
        <v>3.24</v>
      </c>
      <c r="G51" s="12">
        <v>9</v>
      </c>
      <c r="H51" s="8">
        <v>2.2400000000000002</v>
      </c>
      <c r="I51" s="12">
        <v>0</v>
      </c>
    </row>
    <row r="52" spans="2:9" ht="15" customHeight="1" x14ac:dyDescent="0.2">
      <c r="B52" t="s">
        <v>180</v>
      </c>
      <c r="C52" s="12">
        <v>19</v>
      </c>
      <c r="D52" s="8">
        <v>2.44</v>
      </c>
      <c r="E52" s="12">
        <v>4</v>
      </c>
      <c r="F52" s="8">
        <v>1.08</v>
      </c>
      <c r="G52" s="12">
        <v>15</v>
      </c>
      <c r="H52" s="8">
        <v>3.74</v>
      </c>
      <c r="I52" s="12">
        <v>0</v>
      </c>
    </row>
    <row r="53" spans="2:9" ht="15" customHeight="1" x14ac:dyDescent="0.2">
      <c r="B53" t="s">
        <v>164</v>
      </c>
      <c r="C53" s="12">
        <v>19</v>
      </c>
      <c r="D53" s="8">
        <v>2.44</v>
      </c>
      <c r="E53" s="12">
        <v>11</v>
      </c>
      <c r="F53" s="8">
        <v>2.97</v>
      </c>
      <c r="G53" s="12">
        <v>8</v>
      </c>
      <c r="H53" s="8">
        <v>2</v>
      </c>
      <c r="I53" s="12">
        <v>0</v>
      </c>
    </row>
    <row r="54" spans="2:9" ht="15" customHeight="1" x14ac:dyDescent="0.2">
      <c r="B54" t="s">
        <v>169</v>
      </c>
      <c r="C54" s="12">
        <v>17</v>
      </c>
      <c r="D54" s="8">
        <v>2.1800000000000002</v>
      </c>
      <c r="E54" s="12">
        <v>17</v>
      </c>
      <c r="F54" s="8">
        <v>4.59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171</v>
      </c>
      <c r="C55" s="12">
        <v>17</v>
      </c>
      <c r="D55" s="8">
        <v>2.1800000000000002</v>
      </c>
      <c r="E55" s="12">
        <v>15</v>
      </c>
      <c r="F55" s="8">
        <v>4.05</v>
      </c>
      <c r="G55" s="12">
        <v>2</v>
      </c>
      <c r="H55" s="8">
        <v>0.5</v>
      </c>
      <c r="I55" s="12">
        <v>0</v>
      </c>
    </row>
    <row r="56" spans="2:9" ht="15" customHeight="1" x14ac:dyDescent="0.2">
      <c r="B56" t="s">
        <v>202</v>
      </c>
      <c r="C56" s="12">
        <v>16</v>
      </c>
      <c r="D56" s="8">
        <v>2.0499999999999998</v>
      </c>
      <c r="E56" s="12">
        <v>5</v>
      </c>
      <c r="F56" s="8">
        <v>1.35</v>
      </c>
      <c r="G56" s="12">
        <v>11</v>
      </c>
      <c r="H56" s="8">
        <v>2.74</v>
      </c>
      <c r="I56" s="12">
        <v>0</v>
      </c>
    </row>
    <row r="57" spans="2:9" ht="15" customHeight="1" x14ac:dyDescent="0.2">
      <c r="B57" t="s">
        <v>165</v>
      </c>
      <c r="C57" s="12">
        <v>16</v>
      </c>
      <c r="D57" s="8">
        <v>2.0499999999999998</v>
      </c>
      <c r="E57" s="12">
        <v>10</v>
      </c>
      <c r="F57" s="8">
        <v>2.7</v>
      </c>
      <c r="G57" s="12">
        <v>6</v>
      </c>
      <c r="H57" s="8">
        <v>1.5</v>
      </c>
      <c r="I57" s="12">
        <v>0</v>
      </c>
    </row>
    <row r="58" spans="2:9" ht="15" customHeight="1" x14ac:dyDescent="0.2">
      <c r="B58" t="s">
        <v>186</v>
      </c>
      <c r="C58" s="12">
        <v>15</v>
      </c>
      <c r="D58" s="8">
        <v>1.93</v>
      </c>
      <c r="E58" s="12">
        <v>11</v>
      </c>
      <c r="F58" s="8">
        <v>2.97</v>
      </c>
      <c r="G58" s="12">
        <v>4</v>
      </c>
      <c r="H58" s="8">
        <v>1</v>
      </c>
      <c r="I58" s="12">
        <v>0</v>
      </c>
    </row>
    <row r="59" spans="2:9" ht="15" customHeight="1" x14ac:dyDescent="0.2">
      <c r="B59" t="s">
        <v>187</v>
      </c>
      <c r="C59" s="12">
        <v>15</v>
      </c>
      <c r="D59" s="8">
        <v>1.93</v>
      </c>
      <c r="E59" s="12">
        <v>5</v>
      </c>
      <c r="F59" s="8">
        <v>1.35</v>
      </c>
      <c r="G59" s="12">
        <v>10</v>
      </c>
      <c r="H59" s="8">
        <v>2.4900000000000002</v>
      </c>
      <c r="I59" s="12">
        <v>0</v>
      </c>
    </row>
    <row r="60" spans="2:9" ht="15" customHeight="1" x14ac:dyDescent="0.2">
      <c r="B60" t="s">
        <v>155</v>
      </c>
      <c r="C60" s="12">
        <v>13</v>
      </c>
      <c r="D60" s="8">
        <v>1.67</v>
      </c>
      <c r="E60" s="12">
        <v>2</v>
      </c>
      <c r="F60" s="8">
        <v>0.54</v>
      </c>
      <c r="G60" s="12">
        <v>11</v>
      </c>
      <c r="H60" s="8">
        <v>2.74</v>
      </c>
      <c r="I60" s="12">
        <v>0</v>
      </c>
    </row>
    <row r="61" spans="2:9" ht="15" customHeight="1" x14ac:dyDescent="0.2">
      <c r="B61" t="s">
        <v>173</v>
      </c>
      <c r="C61" s="12">
        <v>13</v>
      </c>
      <c r="D61" s="8">
        <v>1.67</v>
      </c>
      <c r="E61" s="12">
        <v>11</v>
      </c>
      <c r="F61" s="8">
        <v>2.97</v>
      </c>
      <c r="G61" s="12">
        <v>2</v>
      </c>
      <c r="H61" s="8">
        <v>0.5</v>
      </c>
      <c r="I61" s="12">
        <v>0</v>
      </c>
    </row>
    <row r="62" spans="2:9" ht="15" customHeight="1" x14ac:dyDescent="0.2">
      <c r="B62" t="s">
        <v>203</v>
      </c>
      <c r="C62" s="12">
        <v>12</v>
      </c>
      <c r="D62" s="8">
        <v>1.54</v>
      </c>
      <c r="E62" s="12">
        <v>11</v>
      </c>
      <c r="F62" s="8">
        <v>2.97</v>
      </c>
      <c r="G62" s="12">
        <v>1</v>
      </c>
      <c r="H62" s="8">
        <v>0.25</v>
      </c>
      <c r="I62" s="12">
        <v>0</v>
      </c>
    </row>
    <row r="63" spans="2:9" ht="15" customHeight="1" x14ac:dyDescent="0.2">
      <c r="B63" t="s">
        <v>227</v>
      </c>
      <c r="C63" s="12">
        <v>12</v>
      </c>
      <c r="D63" s="8">
        <v>1.54</v>
      </c>
      <c r="E63" s="12">
        <v>12</v>
      </c>
      <c r="F63" s="8">
        <v>3.24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228</v>
      </c>
      <c r="C64" s="12">
        <v>11</v>
      </c>
      <c r="D64" s="8">
        <v>1.41</v>
      </c>
      <c r="E64" s="12">
        <v>7</v>
      </c>
      <c r="F64" s="8">
        <v>1.89</v>
      </c>
      <c r="G64" s="12">
        <v>4</v>
      </c>
      <c r="H64" s="8">
        <v>1</v>
      </c>
      <c r="I64" s="12">
        <v>0</v>
      </c>
    </row>
    <row r="65" spans="2:9" ht="15" customHeight="1" x14ac:dyDescent="0.2">
      <c r="B65" t="s">
        <v>156</v>
      </c>
      <c r="C65" s="12">
        <v>11</v>
      </c>
      <c r="D65" s="8">
        <v>1.41</v>
      </c>
      <c r="E65" s="12">
        <v>5</v>
      </c>
      <c r="F65" s="8">
        <v>1.35</v>
      </c>
      <c r="G65" s="12">
        <v>6</v>
      </c>
      <c r="H65" s="8">
        <v>1.5</v>
      </c>
      <c r="I65" s="12">
        <v>0</v>
      </c>
    </row>
    <row r="66" spans="2:9" ht="15" customHeight="1" x14ac:dyDescent="0.2">
      <c r="B66" t="s">
        <v>209</v>
      </c>
      <c r="C66" s="12">
        <v>11</v>
      </c>
      <c r="D66" s="8">
        <v>1.41</v>
      </c>
      <c r="E66" s="12">
        <v>5</v>
      </c>
      <c r="F66" s="8">
        <v>1.35</v>
      </c>
      <c r="G66" s="12">
        <v>6</v>
      </c>
      <c r="H66" s="8">
        <v>1.5</v>
      </c>
      <c r="I66" s="12">
        <v>0</v>
      </c>
    </row>
    <row r="67" spans="2:9" ht="15" customHeight="1" x14ac:dyDescent="0.2">
      <c r="B67" t="s">
        <v>229</v>
      </c>
      <c r="C67" s="12">
        <v>10</v>
      </c>
      <c r="D67" s="8">
        <v>1.28</v>
      </c>
      <c r="E67" s="12">
        <v>4</v>
      </c>
      <c r="F67" s="8">
        <v>1.08</v>
      </c>
      <c r="G67" s="12">
        <v>6</v>
      </c>
      <c r="H67" s="8">
        <v>1.5</v>
      </c>
      <c r="I67" s="12">
        <v>0</v>
      </c>
    </row>
    <row r="69" spans="2:9" ht="15" customHeight="1" x14ac:dyDescent="0.2">
      <c r="B69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D16B5-A987-4880-A068-D2DAC4CE3DB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283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14</v>
      </c>
      <c r="D5" s="8">
        <v>0.01</v>
      </c>
      <c r="E5" s="12">
        <v>1</v>
      </c>
      <c r="F5" s="8">
        <v>0</v>
      </c>
      <c r="G5" s="12">
        <v>13</v>
      </c>
      <c r="H5" s="8">
        <v>0.02</v>
      </c>
      <c r="I5" s="12">
        <v>0</v>
      </c>
    </row>
    <row r="6" spans="2:9" ht="15" customHeight="1" x14ac:dyDescent="0.2">
      <c r="B6" t="s">
        <v>76</v>
      </c>
      <c r="C6" s="12">
        <v>15601</v>
      </c>
      <c r="D6" s="8">
        <v>13.43</v>
      </c>
      <c r="E6" s="12">
        <v>4065</v>
      </c>
      <c r="F6" s="8">
        <v>7.28</v>
      </c>
      <c r="G6" s="12">
        <v>11535</v>
      </c>
      <c r="H6" s="8">
        <v>19.47</v>
      </c>
      <c r="I6" s="12">
        <v>1</v>
      </c>
    </row>
    <row r="7" spans="2:9" ht="15" customHeight="1" x14ac:dyDescent="0.2">
      <c r="B7" t="s">
        <v>77</v>
      </c>
      <c r="C7" s="12">
        <v>7184</v>
      </c>
      <c r="D7" s="8">
        <v>6.18</v>
      </c>
      <c r="E7" s="12">
        <v>2815</v>
      </c>
      <c r="F7" s="8">
        <v>5.04</v>
      </c>
      <c r="G7" s="12">
        <v>4350</v>
      </c>
      <c r="H7" s="8">
        <v>7.34</v>
      </c>
      <c r="I7" s="12">
        <v>19</v>
      </c>
    </row>
    <row r="8" spans="2:9" ht="15" customHeight="1" x14ac:dyDescent="0.2">
      <c r="B8" t="s">
        <v>78</v>
      </c>
      <c r="C8" s="12">
        <v>208</v>
      </c>
      <c r="D8" s="8">
        <v>0.18</v>
      </c>
      <c r="E8" s="12">
        <v>2</v>
      </c>
      <c r="F8" s="8">
        <v>0</v>
      </c>
      <c r="G8" s="12">
        <v>171</v>
      </c>
      <c r="H8" s="8">
        <v>0.28999999999999998</v>
      </c>
      <c r="I8" s="12">
        <v>0</v>
      </c>
    </row>
    <row r="9" spans="2:9" ht="15" customHeight="1" x14ac:dyDescent="0.2">
      <c r="B9" t="s">
        <v>79</v>
      </c>
      <c r="C9" s="12">
        <v>1494</v>
      </c>
      <c r="D9" s="8">
        <v>1.29</v>
      </c>
      <c r="E9" s="12">
        <v>90</v>
      </c>
      <c r="F9" s="8">
        <v>0.16</v>
      </c>
      <c r="G9" s="12">
        <v>1401</v>
      </c>
      <c r="H9" s="8">
        <v>2.36</v>
      </c>
      <c r="I9" s="12">
        <v>3</v>
      </c>
    </row>
    <row r="10" spans="2:9" ht="15" customHeight="1" x14ac:dyDescent="0.2">
      <c r="B10" t="s">
        <v>80</v>
      </c>
      <c r="C10" s="12">
        <v>1311</v>
      </c>
      <c r="D10" s="8">
        <v>1.1299999999999999</v>
      </c>
      <c r="E10" s="12">
        <v>330</v>
      </c>
      <c r="F10" s="8">
        <v>0.59</v>
      </c>
      <c r="G10" s="12">
        <v>968</v>
      </c>
      <c r="H10" s="8">
        <v>1.63</v>
      </c>
      <c r="I10" s="12">
        <v>10</v>
      </c>
    </row>
    <row r="11" spans="2:9" ht="15" customHeight="1" x14ac:dyDescent="0.2">
      <c r="B11" t="s">
        <v>81</v>
      </c>
      <c r="C11" s="12">
        <v>29081</v>
      </c>
      <c r="D11" s="8">
        <v>25.04</v>
      </c>
      <c r="E11" s="12">
        <v>12465</v>
      </c>
      <c r="F11" s="8">
        <v>22.33</v>
      </c>
      <c r="G11" s="12">
        <v>16588</v>
      </c>
      <c r="H11" s="8">
        <v>27.99</v>
      </c>
      <c r="I11" s="12">
        <v>28</v>
      </c>
    </row>
    <row r="12" spans="2:9" ht="15" customHeight="1" x14ac:dyDescent="0.2">
      <c r="B12" t="s">
        <v>82</v>
      </c>
      <c r="C12" s="12">
        <v>906</v>
      </c>
      <c r="D12" s="8">
        <v>0.78</v>
      </c>
      <c r="E12" s="12">
        <v>129</v>
      </c>
      <c r="F12" s="8">
        <v>0.23</v>
      </c>
      <c r="G12" s="12">
        <v>774</v>
      </c>
      <c r="H12" s="8">
        <v>1.31</v>
      </c>
      <c r="I12" s="12">
        <v>3</v>
      </c>
    </row>
    <row r="13" spans="2:9" ht="15" customHeight="1" x14ac:dyDescent="0.2">
      <c r="B13" t="s">
        <v>83</v>
      </c>
      <c r="C13" s="12">
        <v>11214</v>
      </c>
      <c r="D13" s="8">
        <v>9.65</v>
      </c>
      <c r="E13" s="12">
        <v>3403</v>
      </c>
      <c r="F13" s="8">
        <v>6.1</v>
      </c>
      <c r="G13" s="12">
        <v>7784</v>
      </c>
      <c r="H13" s="8">
        <v>13.14</v>
      </c>
      <c r="I13" s="12">
        <v>12</v>
      </c>
    </row>
    <row r="14" spans="2:9" ht="15" customHeight="1" x14ac:dyDescent="0.2">
      <c r="B14" t="s">
        <v>84</v>
      </c>
      <c r="C14" s="12">
        <v>7082</v>
      </c>
      <c r="D14" s="8">
        <v>6.1</v>
      </c>
      <c r="E14" s="12">
        <v>3257</v>
      </c>
      <c r="F14" s="8">
        <v>5.84</v>
      </c>
      <c r="G14" s="12">
        <v>3794</v>
      </c>
      <c r="H14" s="8">
        <v>6.4</v>
      </c>
      <c r="I14" s="12">
        <v>12</v>
      </c>
    </row>
    <row r="15" spans="2:9" ht="15" customHeight="1" x14ac:dyDescent="0.2">
      <c r="B15" t="s">
        <v>85</v>
      </c>
      <c r="C15" s="12">
        <v>13793</v>
      </c>
      <c r="D15" s="8">
        <v>11.87</v>
      </c>
      <c r="E15" s="12">
        <v>11310</v>
      </c>
      <c r="F15" s="8">
        <v>20.260000000000002</v>
      </c>
      <c r="G15" s="12">
        <v>2463</v>
      </c>
      <c r="H15" s="8">
        <v>4.16</v>
      </c>
      <c r="I15" s="12">
        <v>3</v>
      </c>
    </row>
    <row r="16" spans="2:9" ht="15" customHeight="1" x14ac:dyDescent="0.2">
      <c r="B16" t="s">
        <v>86</v>
      </c>
      <c r="C16" s="12">
        <v>13817</v>
      </c>
      <c r="D16" s="8">
        <v>11.89</v>
      </c>
      <c r="E16" s="12">
        <v>10364</v>
      </c>
      <c r="F16" s="8">
        <v>18.57</v>
      </c>
      <c r="G16" s="12">
        <v>3404</v>
      </c>
      <c r="H16" s="8">
        <v>5.74</v>
      </c>
      <c r="I16" s="12">
        <v>14</v>
      </c>
    </row>
    <row r="17" spans="2:9" ht="15" customHeight="1" x14ac:dyDescent="0.2">
      <c r="B17" t="s">
        <v>87</v>
      </c>
      <c r="C17" s="12">
        <v>3802</v>
      </c>
      <c r="D17" s="8">
        <v>3.27</v>
      </c>
      <c r="E17" s="12">
        <v>2400</v>
      </c>
      <c r="F17" s="8">
        <v>4.3</v>
      </c>
      <c r="G17" s="12">
        <v>1035</v>
      </c>
      <c r="H17" s="8">
        <v>1.75</v>
      </c>
      <c r="I17" s="12">
        <v>75</v>
      </c>
    </row>
    <row r="18" spans="2:9" ht="15" customHeight="1" x14ac:dyDescent="0.2">
      <c r="B18" t="s">
        <v>88</v>
      </c>
      <c r="C18" s="12">
        <v>5901</v>
      </c>
      <c r="D18" s="8">
        <v>5.08</v>
      </c>
      <c r="E18" s="12">
        <v>3496</v>
      </c>
      <c r="F18" s="8">
        <v>6.26</v>
      </c>
      <c r="G18" s="12">
        <v>2213</v>
      </c>
      <c r="H18" s="8">
        <v>3.73</v>
      </c>
      <c r="I18" s="12">
        <v>14</v>
      </c>
    </row>
    <row r="19" spans="2:9" ht="15" customHeight="1" x14ac:dyDescent="0.2">
      <c r="B19" t="s">
        <v>89</v>
      </c>
      <c r="C19" s="12">
        <v>4753</v>
      </c>
      <c r="D19" s="8">
        <v>4.09</v>
      </c>
      <c r="E19" s="12">
        <v>1690</v>
      </c>
      <c r="F19" s="8">
        <v>3.03</v>
      </c>
      <c r="G19" s="12">
        <v>2766</v>
      </c>
      <c r="H19" s="8">
        <v>4.67</v>
      </c>
      <c r="I19" s="12">
        <v>50</v>
      </c>
    </row>
    <row r="20" spans="2:9" ht="15" customHeight="1" x14ac:dyDescent="0.2">
      <c r="B20" s="9" t="s">
        <v>285</v>
      </c>
      <c r="C20" s="12">
        <f>SUM(LTBL_40000[総数／事業所数])</f>
        <v>116161</v>
      </c>
      <c r="E20" s="12">
        <f>SUBTOTAL(109,LTBL_40000[個人／事業所数])</f>
        <v>55817</v>
      </c>
      <c r="G20" s="12">
        <f>SUBTOTAL(109,LTBL_40000[法人／事業所数])</f>
        <v>59259</v>
      </c>
      <c r="I20" s="12">
        <f>SUBTOTAL(109,LTBL_40000[法人以外の団体／事業所数])</f>
        <v>244</v>
      </c>
    </row>
    <row r="21" spans="2:9" ht="15" customHeight="1" x14ac:dyDescent="0.2">
      <c r="E21" s="11">
        <f>LTBL_40000[[#Totals],[個人／事業所数]]/LTBL_40000[[#Totals],[総数／事業所数]]</f>
        <v>0.4805141140313875</v>
      </c>
      <c r="G21" s="11">
        <f>LTBL_40000[[#Totals],[法人／事業所数]]/LTBL_40000[[#Totals],[総数／事業所数]]</f>
        <v>0.51014540164082611</v>
      </c>
      <c r="I21" s="11">
        <f>LTBL_40000[[#Totals],[法人以外の団体／事業所数]]/LTBL_40000[[#Totals],[総数／事業所数]]</f>
        <v>2.100532881087456E-3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112</v>
      </c>
      <c r="C24" s="12">
        <v>12479</v>
      </c>
      <c r="D24" s="8">
        <v>10.74</v>
      </c>
      <c r="E24" s="12">
        <v>10811</v>
      </c>
      <c r="F24" s="8">
        <v>19.37</v>
      </c>
      <c r="G24" s="12">
        <v>1666</v>
      </c>
      <c r="H24" s="8">
        <v>2.81</v>
      </c>
      <c r="I24" s="12">
        <v>2</v>
      </c>
    </row>
    <row r="25" spans="2:9" ht="15" customHeight="1" x14ac:dyDescent="0.2">
      <c r="B25" t="s">
        <v>113</v>
      </c>
      <c r="C25" s="12">
        <v>11279</v>
      </c>
      <c r="D25" s="8">
        <v>9.7100000000000009</v>
      </c>
      <c r="E25" s="12">
        <v>9258</v>
      </c>
      <c r="F25" s="8">
        <v>16.59</v>
      </c>
      <c r="G25" s="12">
        <v>2019</v>
      </c>
      <c r="H25" s="8">
        <v>3.41</v>
      </c>
      <c r="I25" s="12">
        <v>2</v>
      </c>
    </row>
    <row r="26" spans="2:9" ht="15" customHeight="1" x14ac:dyDescent="0.2">
      <c r="B26" t="s">
        <v>109</v>
      </c>
      <c r="C26" s="12">
        <v>8473</v>
      </c>
      <c r="D26" s="8">
        <v>7.29</v>
      </c>
      <c r="E26" s="12">
        <v>2934</v>
      </c>
      <c r="F26" s="8">
        <v>5.26</v>
      </c>
      <c r="G26" s="12">
        <v>5513</v>
      </c>
      <c r="H26" s="8">
        <v>9.3000000000000007</v>
      </c>
      <c r="I26" s="12">
        <v>11</v>
      </c>
    </row>
    <row r="27" spans="2:9" ht="15" customHeight="1" x14ac:dyDescent="0.2">
      <c r="B27" t="s">
        <v>107</v>
      </c>
      <c r="C27" s="12">
        <v>7362</v>
      </c>
      <c r="D27" s="8">
        <v>6.34</v>
      </c>
      <c r="E27" s="12">
        <v>3644</v>
      </c>
      <c r="F27" s="8">
        <v>6.53</v>
      </c>
      <c r="G27" s="12">
        <v>3712</v>
      </c>
      <c r="H27" s="8">
        <v>6.26</v>
      </c>
      <c r="I27" s="12">
        <v>6</v>
      </c>
    </row>
    <row r="28" spans="2:9" ht="15" customHeight="1" x14ac:dyDescent="0.2">
      <c r="B28" t="s">
        <v>98</v>
      </c>
      <c r="C28" s="12">
        <v>7082</v>
      </c>
      <c r="D28" s="8">
        <v>6.1</v>
      </c>
      <c r="E28" s="12">
        <v>1573</v>
      </c>
      <c r="F28" s="8">
        <v>2.82</v>
      </c>
      <c r="G28" s="12">
        <v>5509</v>
      </c>
      <c r="H28" s="8">
        <v>9.3000000000000007</v>
      </c>
      <c r="I28" s="12">
        <v>0</v>
      </c>
    </row>
    <row r="29" spans="2:9" ht="15" customHeight="1" x14ac:dyDescent="0.2">
      <c r="B29" t="s">
        <v>105</v>
      </c>
      <c r="C29" s="12">
        <v>5715</v>
      </c>
      <c r="D29" s="8">
        <v>4.92</v>
      </c>
      <c r="E29" s="12">
        <v>4085</v>
      </c>
      <c r="F29" s="8">
        <v>7.32</v>
      </c>
      <c r="G29" s="12">
        <v>1618</v>
      </c>
      <c r="H29" s="8">
        <v>2.73</v>
      </c>
      <c r="I29" s="12">
        <v>12</v>
      </c>
    </row>
    <row r="30" spans="2:9" ht="15" customHeight="1" x14ac:dyDescent="0.2">
      <c r="B30" t="s">
        <v>99</v>
      </c>
      <c r="C30" s="12">
        <v>4481</v>
      </c>
      <c r="D30" s="8">
        <v>3.86</v>
      </c>
      <c r="E30" s="12">
        <v>1588</v>
      </c>
      <c r="F30" s="8">
        <v>2.85</v>
      </c>
      <c r="G30" s="12">
        <v>2893</v>
      </c>
      <c r="H30" s="8">
        <v>4.88</v>
      </c>
      <c r="I30" s="12">
        <v>0</v>
      </c>
    </row>
    <row r="31" spans="2:9" ht="15" customHeight="1" x14ac:dyDescent="0.2">
      <c r="B31" t="s">
        <v>110</v>
      </c>
      <c r="C31" s="12">
        <v>4133</v>
      </c>
      <c r="D31" s="8">
        <v>3.56</v>
      </c>
      <c r="E31" s="12">
        <v>2339</v>
      </c>
      <c r="F31" s="8">
        <v>4.1900000000000004</v>
      </c>
      <c r="G31" s="12">
        <v>1787</v>
      </c>
      <c r="H31" s="8">
        <v>3.02</v>
      </c>
      <c r="I31" s="12">
        <v>7</v>
      </c>
    </row>
    <row r="32" spans="2:9" ht="15" customHeight="1" x14ac:dyDescent="0.2">
      <c r="B32" t="s">
        <v>100</v>
      </c>
      <c r="C32" s="12">
        <v>4038</v>
      </c>
      <c r="D32" s="8">
        <v>3.48</v>
      </c>
      <c r="E32" s="12">
        <v>904</v>
      </c>
      <c r="F32" s="8">
        <v>1.62</v>
      </c>
      <c r="G32" s="12">
        <v>3133</v>
      </c>
      <c r="H32" s="8">
        <v>5.29</v>
      </c>
      <c r="I32" s="12">
        <v>1</v>
      </c>
    </row>
    <row r="33" spans="2:9" ht="15" customHeight="1" x14ac:dyDescent="0.2">
      <c r="B33" t="s">
        <v>115</v>
      </c>
      <c r="C33" s="12">
        <v>4034</v>
      </c>
      <c r="D33" s="8">
        <v>3.47</v>
      </c>
      <c r="E33" s="12">
        <v>3455</v>
      </c>
      <c r="F33" s="8">
        <v>6.19</v>
      </c>
      <c r="G33" s="12">
        <v>578</v>
      </c>
      <c r="H33" s="8">
        <v>0.98</v>
      </c>
      <c r="I33" s="12">
        <v>1</v>
      </c>
    </row>
    <row r="34" spans="2:9" ht="15" customHeight="1" x14ac:dyDescent="0.2">
      <c r="B34" t="s">
        <v>114</v>
      </c>
      <c r="C34" s="12">
        <v>3802</v>
      </c>
      <c r="D34" s="8">
        <v>3.27</v>
      </c>
      <c r="E34" s="12">
        <v>2400</v>
      </c>
      <c r="F34" s="8">
        <v>4.3</v>
      </c>
      <c r="G34" s="12">
        <v>1035</v>
      </c>
      <c r="H34" s="8">
        <v>1.75</v>
      </c>
      <c r="I34" s="12">
        <v>75</v>
      </c>
    </row>
    <row r="35" spans="2:9" ht="15" customHeight="1" x14ac:dyDescent="0.2">
      <c r="B35" t="s">
        <v>106</v>
      </c>
      <c r="C35" s="12">
        <v>3292</v>
      </c>
      <c r="D35" s="8">
        <v>2.83</v>
      </c>
      <c r="E35" s="12">
        <v>2095</v>
      </c>
      <c r="F35" s="8">
        <v>3.75</v>
      </c>
      <c r="G35" s="12">
        <v>1197</v>
      </c>
      <c r="H35" s="8">
        <v>2.02</v>
      </c>
      <c r="I35" s="12">
        <v>0</v>
      </c>
    </row>
    <row r="36" spans="2:9" ht="15" customHeight="1" x14ac:dyDescent="0.2">
      <c r="B36" t="s">
        <v>104</v>
      </c>
      <c r="C36" s="12">
        <v>3050</v>
      </c>
      <c r="D36" s="8">
        <v>2.63</v>
      </c>
      <c r="E36" s="12">
        <v>1295</v>
      </c>
      <c r="F36" s="8">
        <v>2.3199999999999998</v>
      </c>
      <c r="G36" s="12">
        <v>1752</v>
      </c>
      <c r="H36" s="8">
        <v>2.96</v>
      </c>
      <c r="I36" s="12">
        <v>3</v>
      </c>
    </row>
    <row r="37" spans="2:9" ht="15" customHeight="1" x14ac:dyDescent="0.2">
      <c r="B37" t="s">
        <v>111</v>
      </c>
      <c r="C37" s="12">
        <v>2522</v>
      </c>
      <c r="D37" s="8">
        <v>2.17</v>
      </c>
      <c r="E37" s="12">
        <v>894</v>
      </c>
      <c r="F37" s="8">
        <v>1.6</v>
      </c>
      <c r="G37" s="12">
        <v>1610</v>
      </c>
      <c r="H37" s="8">
        <v>2.72</v>
      </c>
      <c r="I37" s="12">
        <v>3</v>
      </c>
    </row>
    <row r="38" spans="2:9" ht="15" customHeight="1" x14ac:dyDescent="0.2">
      <c r="B38" t="s">
        <v>102</v>
      </c>
      <c r="C38" s="12">
        <v>2419</v>
      </c>
      <c r="D38" s="8">
        <v>2.08</v>
      </c>
      <c r="E38" s="12">
        <v>204</v>
      </c>
      <c r="F38" s="8">
        <v>0.37</v>
      </c>
      <c r="G38" s="12">
        <v>2215</v>
      </c>
      <c r="H38" s="8">
        <v>3.74</v>
      </c>
      <c r="I38" s="12">
        <v>0</v>
      </c>
    </row>
    <row r="39" spans="2:9" ht="15" customHeight="1" x14ac:dyDescent="0.2">
      <c r="B39" t="s">
        <v>108</v>
      </c>
      <c r="C39" s="12">
        <v>2134</v>
      </c>
      <c r="D39" s="8">
        <v>1.84</v>
      </c>
      <c r="E39" s="12">
        <v>396</v>
      </c>
      <c r="F39" s="8">
        <v>0.71</v>
      </c>
      <c r="G39" s="12">
        <v>1738</v>
      </c>
      <c r="H39" s="8">
        <v>2.93</v>
      </c>
      <c r="I39" s="12">
        <v>0</v>
      </c>
    </row>
    <row r="40" spans="2:9" ht="15" customHeight="1" x14ac:dyDescent="0.2">
      <c r="B40" t="s">
        <v>103</v>
      </c>
      <c r="C40" s="12">
        <v>2115</v>
      </c>
      <c r="D40" s="8">
        <v>1.82</v>
      </c>
      <c r="E40" s="12">
        <v>322</v>
      </c>
      <c r="F40" s="8">
        <v>0.57999999999999996</v>
      </c>
      <c r="G40" s="12">
        <v>1791</v>
      </c>
      <c r="H40" s="8">
        <v>3.02</v>
      </c>
      <c r="I40" s="12">
        <v>2</v>
      </c>
    </row>
    <row r="41" spans="2:9" ht="15" customHeight="1" x14ac:dyDescent="0.2">
      <c r="B41" t="s">
        <v>101</v>
      </c>
      <c r="C41" s="12">
        <v>1912</v>
      </c>
      <c r="D41" s="8">
        <v>1.65</v>
      </c>
      <c r="E41" s="12">
        <v>253</v>
      </c>
      <c r="F41" s="8">
        <v>0.45</v>
      </c>
      <c r="G41" s="12">
        <v>1658</v>
      </c>
      <c r="H41" s="8">
        <v>2.8</v>
      </c>
      <c r="I41" s="12">
        <v>1</v>
      </c>
    </row>
    <row r="42" spans="2:9" ht="15" customHeight="1" x14ac:dyDescent="0.2">
      <c r="B42" t="s">
        <v>116</v>
      </c>
      <c r="C42" s="12">
        <v>1867</v>
      </c>
      <c r="D42" s="8">
        <v>1.61</v>
      </c>
      <c r="E42" s="12">
        <v>41</v>
      </c>
      <c r="F42" s="8">
        <v>7.0000000000000007E-2</v>
      </c>
      <c r="G42" s="12">
        <v>1635</v>
      </c>
      <c r="H42" s="8">
        <v>2.76</v>
      </c>
      <c r="I42" s="12">
        <v>13</v>
      </c>
    </row>
    <row r="43" spans="2:9" ht="15" customHeight="1" x14ac:dyDescent="0.2">
      <c r="B43" t="s">
        <v>117</v>
      </c>
      <c r="C43" s="12">
        <v>1659</v>
      </c>
      <c r="D43" s="8">
        <v>1.43</v>
      </c>
      <c r="E43" s="12">
        <v>134</v>
      </c>
      <c r="F43" s="8">
        <v>0.24</v>
      </c>
      <c r="G43" s="12">
        <v>1489</v>
      </c>
      <c r="H43" s="8">
        <v>2.5099999999999998</v>
      </c>
      <c r="I43" s="12">
        <v>31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170</v>
      </c>
      <c r="C47" s="12">
        <v>5824</v>
      </c>
      <c r="D47" s="8">
        <v>5.01</v>
      </c>
      <c r="E47" s="12">
        <v>5138</v>
      </c>
      <c r="F47" s="8">
        <v>9.2100000000000009</v>
      </c>
      <c r="G47" s="12">
        <v>686</v>
      </c>
      <c r="H47" s="8">
        <v>1.1599999999999999</v>
      </c>
      <c r="I47" s="12">
        <v>0</v>
      </c>
    </row>
    <row r="48" spans="2:9" ht="15" customHeight="1" x14ac:dyDescent="0.2">
      <c r="B48" t="s">
        <v>164</v>
      </c>
      <c r="C48" s="12">
        <v>4750</v>
      </c>
      <c r="D48" s="8">
        <v>4.09</v>
      </c>
      <c r="E48" s="12">
        <v>1961</v>
      </c>
      <c r="F48" s="8">
        <v>3.51</v>
      </c>
      <c r="G48" s="12">
        <v>2777</v>
      </c>
      <c r="H48" s="8">
        <v>4.6900000000000004</v>
      </c>
      <c r="I48" s="12">
        <v>0</v>
      </c>
    </row>
    <row r="49" spans="2:9" ht="15" customHeight="1" x14ac:dyDescent="0.2">
      <c r="B49" t="s">
        <v>167</v>
      </c>
      <c r="C49" s="12">
        <v>3109</v>
      </c>
      <c r="D49" s="8">
        <v>2.68</v>
      </c>
      <c r="E49" s="12">
        <v>2804</v>
      </c>
      <c r="F49" s="8">
        <v>5.0199999999999996</v>
      </c>
      <c r="G49" s="12">
        <v>305</v>
      </c>
      <c r="H49" s="8">
        <v>0.51</v>
      </c>
      <c r="I49" s="12">
        <v>0</v>
      </c>
    </row>
    <row r="50" spans="2:9" ht="15" customHeight="1" x14ac:dyDescent="0.2">
      <c r="B50" t="s">
        <v>168</v>
      </c>
      <c r="C50" s="12">
        <v>3090</v>
      </c>
      <c r="D50" s="8">
        <v>2.66</v>
      </c>
      <c r="E50" s="12">
        <v>2870</v>
      </c>
      <c r="F50" s="8">
        <v>5.14</v>
      </c>
      <c r="G50" s="12">
        <v>220</v>
      </c>
      <c r="H50" s="8">
        <v>0.37</v>
      </c>
      <c r="I50" s="12">
        <v>0</v>
      </c>
    </row>
    <row r="51" spans="2:9" ht="15" customHeight="1" x14ac:dyDescent="0.2">
      <c r="B51" t="s">
        <v>169</v>
      </c>
      <c r="C51" s="12">
        <v>3002</v>
      </c>
      <c r="D51" s="8">
        <v>2.58</v>
      </c>
      <c r="E51" s="12">
        <v>2885</v>
      </c>
      <c r="F51" s="8">
        <v>5.17</v>
      </c>
      <c r="G51" s="12">
        <v>116</v>
      </c>
      <c r="H51" s="8">
        <v>0.2</v>
      </c>
      <c r="I51" s="12">
        <v>1</v>
      </c>
    </row>
    <row r="52" spans="2:9" ht="15" customHeight="1" x14ac:dyDescent="0.2">
      <c r="B52" t="s">
        <v>166</v>
      </c>
      <c r="C52" s="12">
        <v>2944</v>
      </c>
      <c r="D52" s="8">
        <v>2.5299999999999998</v>
      </c>
      <c r="E52" s="12">
        <v>2365</v>
      </c>
      <c r="F52" s="8">
        <v>4.24</v>
      </c>
      <c r="G52" s="12">
        <v>579</v>
      </c>
      <c r="H52" s="8">
        <v>0.98</v>
      </c>
      <c r="I52" s="12">
        <v>0</v>
      </c>
    </row>
    <row r="53" spans="2:9" ht="15" customHeight="1" x14ac:dyDescent="0.2">
      <c r="B53" t="s">
        <v>172</v>
      </c>
      <c r="C53" s="12">
        <v>2704</v>
      </c>
      <c r="D53" s="8">
        <v>2.33</v>
      </c>
      <c r="E53" s="12">
        <v>2342</v>
      </c>
      <c r="F53" s="8">
        <v>4.2</v>
      </c>
      <c r="G53" s="12">
        <v>361</v>
      </c>
      <c r="H53" s="8">
        <v>0.61</v>
      </c>
      <c r="I53" s="12">
        <v>1</v>
      </c>
    </row>
    <row r="54" spans="2:9" ht="15" customHeight="1" x14ac:dyDescent="0.2">
      <c r="B54" t="s">
        <v>154</v>
      </c>
      <c r="C54" s="12">
        <v>2651</v>
      </c>
      <c r="D54" s="8">
        <v>2.2799999999999998</v>
      </c>
      <c r="E54" s="12">
        <v>439</v>
      </c>
      <c r="F54" s="8">
        <v>0.79</v>
      </c>
      <c r="G54" s="12">
        <v>2212</v>
      </c>
      <c r="H54" s="8">
        <v>3.73</v>
      </c>
      <c r="I54" s="12">
        <v>0</v>
      </c>
    </row>
    <row r="55" spans="2:9" ht="15" customHeight="1" x14ac:dyDescent="0.2">
      <c r="B55" t="s">
        <v>160</v>
      </c>
      <c r="C55" s="12">
        <v>2169</v>
      </c>
      <c r="D55" s="8">
        <v>1.87</v>
      </c>
      <c r="E55" s="12">
        <v>672</v>
      </c>
      <c r="F55" s="8">
        <v>1.2</v>
      </c>
      <c r="G55" s="12">
        <v>1496</v>
      </c>
      <c r="H55" s="8">
        <v>2.52</v>
      </c>
      <c r="I55" s="12">
        <v>1</v>
      </c>
    </row>
    <row r="56" spans="2:9" ht="15" customHeight="1" x14ac:dyDescent="0.2">
      <c r="B56" t="s">
        <v>171</v>
      </c>
      <c r="C56" s="12">
        <v>2159</v>
      </c>
      <c r="D56" s="8">
        <v>1.86</v>
      </c>
      <c r="E56" s="12">
        <v>1652</v>
      </c>
      <c r="F56" s="8">
        <v>2.96</v>
      </c>
      <c r="G56" s="12">
        <v>501</v>
      </c>
      <c r="H56" s="8">
        <v>0.85</v>
      </c>
      <c r="I56" s="12">
        <v>6</v>
      </c>
    </row>
    <row r="57" spans="2:9" ht="15" customHeight="1" x14ac:dyDescent="0.2">
      <c r="B57" t="s">
        <v>159</v>
      </c>
      <c r="C57" s="12">
        <v>2080</v>
      </c>
      <c r="D57" s="8">
        <v>1.79</v>
      </c>
      <c r="E57" s="12">
        <v>1337</v>
      </c>
      <c r="F57" s="8">
        <v>2.4</v>
      </c>
      <c r="G57" s="12">
        <v>743</v>
      </c>
      <c r="H57" s="8">
        <v>1.25</v>
      </c>
      <c r="I57" s="12">
        <v>0</v>
      </c>
    </row>
    <row r="58" spans="2:9" ht="15" customHeight="1" x14ac:dyDescent="0.2">
      <c r="B58" t="s">
        <v>158</v>
      </c>
      <c r="C58" s="12">
        <v>2079</v>
      </c>
      <c r="D58" s="8">
        <v>1.79</v>
      </c>
      <c r="E58" s="12">
        <v>1382</v>
      </c>
      <c r="F58" s="8">
        <v>2.48</v>
      </c>
      <c r="G58" s="12">
        <v>691</v>
      </c>
      <c r="H58" s="8">
        <v>1.17</v>
      </c>
      <c r="I58" s="12">
        <v>6</v>
      </c>
    </row>
    <row r="59" spans="2:9" ht="15" customHeight="1" x14ac:dyDescent="0.2">
      <c r="B59" t="s">
        <v>161</v>
      </c>
      <c r="C59" s="12">
        <v>2076</v>
      </c>
      <c r="D59" s="8">
        <v>1.79</v>
      </c>
      <c r="E59" s="12">
        <v>1401</v>
      </c>
      <c r="F59" s="8">
        <v>2.5099999999999998</v>
      </c>
      <c r="G59" s="12">
        <v>673</v>
      </c>
      <c r="H59" s="8">
        <v>1.1399999999999999</v>
      </c>
      <c r="I59" s="12">
        <v>2</v>
      </c>
    </row>
    <row r="60" spans="2:9" ht="15" customHeight="1" x14ac:dyDescent="0.2">
      <c r="B60" t="s">
        <v>163</v>
      </c>
      <c r="C60" s="12">
        <v>1855</v>
      </c>
      <c r="D60" s="8">
        <v>1.6</v>
      </c>
      <c r="E60" s="12">
        <v>289</v>
      </c>
      <c r="F60" s="8">
        <v>0.52</v>
      </c>
      <c r="G60" s="12">
        <v>1563</v>
      </c>
      <c r="H60" s="8">
        <v>2.64</v>
      </c>
      <c r="I60" s="12">
        <v>3</v>
      </c>
    </row>
    <row r="61" spans="2:9" ht="15" customHeight="1" x14ac:dyDescent="0.2">
      <c r="B61" t="s">
        <v>155</v>
      </c>
      <c r="C61" s="12">
        <v>1790</v>
      </c>
      <c r="D61" s="8">
        <v>1.54</v>
      </c>
      <c r="E61" s="12">
        <v>283</v>
      </c>
      <c r="F61" s="8">
        <v>0.51</v>
      </c>
      <c r="G61" s="12">
        <v>1507</v>
      </c>
      <c r="H61" s="8">
        <v>2.54</v>
      </c>
      <c r="I61" s="12">
        <v>0</v>
      </c>
    </row>
    <row r="62" spans="2:9" ht="15" customHeight="1" x14ac:dyDescent="0.2">
      <c r="B62" t="s">
        <v>165</v>
      </c>
      <c r="C62" s="12">
        <v>1691</v>
      </c>
      <c r="D62" s="8">
        <v>1.46</v>
      </c>
      <c r="E62" s="12">
        <v>528</v>
      </c>
      <c r="F62" s="8">
        <v>0.95</v>
      </c>
      <c r="G62" s="12">
        <v>1146</v>
      </c>
      <c r="H62" s="8">
        <v>1.93</v>
      </c>
      <c r="I62" s="12">
        <v>2</v>
      </c>
    </row>
    <row r="63" spans="2:9" ht="15" customHeight="1" x14ac:dyDescent="0.2">
      <c r="B63" t="s">
        <v>162</v>
      </c>
      <c r="C63" s="12">
        <v>1628</v>
      </c>
      <c r="D63" s="8">
        <v>1.4</v>
      </c>
      <c r="E63" s="12">
        <v>336</v>
      </c>
      <c r="F63" s="8">
        <v>0.6</v>
      </c>
      <c r="G63" s="12">
        <v>1292</v>
      </c>
      <c r="H63" s="8">
        <v>2.1800000000000002</v>
      </c>
      <c r="I63" s="12">
        <v>0</v>
      </c>
    </row>
    <row r="64" spans="2:9" ht="15" customHeight="1" x14ac:dyDescent="0.2">
      <c r="B64" t="s">
        <v>156</v>
      </c>
      <c r="C64" s="12">
        <v>1626</v>
      </c>
      <c r="D64" s="8">
        <v>1.4</v>
      </c>
      <c r="E64" s="12">
        <v>434</v>
      </c>
      <c r="F64" s="8">
        <v>0.78</v>
      </c>
      <c r="G64" s="12">
        <v>1192</v>
      </c>
      <c r="H64" s="8">
        <v>2.0099999999999998</v>
      </c>
      <c r="I64" s="12">
        <v>0</v>
      </c>
    </row>
    <row r="65" spans="2:9" ht="15" customHeight="1" x14ac:dyDescent="0.2">
      <c r="B65" t="s">
        <v>173</v>
      </c>
      <c r="C65" s="12">
        <v>1578</v>
      </c>
      <c r="D65" s="8">
        <v>1.36</v>
      </c>
      <c r="E65" s="12">
        <v>1233</v>
      </c>
      <c r="F65" s="8">
        <v>2.21</v>
      </c>
      <c r="G65" s="12">
        <v>344</v>
      </c>
      <c r="H65" s="8">
        <v>0.57999999999999996</v>
      </c>
      <c r="I65" s="12">
        <v>1</v>
      </c>
    </row>
    <row r="66" spans="2:9" ht="15" customHeight="1" x14ac:dyDescent="0.2">
      <c r="B66" t="s">
        <v>157</v>
      </c>
      <c r="C66" s="12">
        <v>1559</v>
      </c>
      <c r="D66" s="8">
        <v>1.34</v>
      </c>
      <c r="E66" s="12">
        <v>740</v>
      </c>
      <c r="F66" s="8">
        <v>1.33</v>
      </c>
      <c r="G66" s="12">
        <v>819</v>
      </c>
      <c r="H66" s="8">
        <v>1.38</v>
      </c>
      <c r="I66" s="12">
        <v>0</v>
      </c>
    </row>
    <row r="68" spans="2:9" ht="15" customHeight="1" x14ac:dyDescent="0.2">
      <c r="B68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4ED05-8111-4925-94FE-9ACA211C2454}">
  <sheetPr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333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66</v>
      </c>
      <c r="D6" s="8">
        <v>16.5</v>
      </c>
      <c r="E6" s="12">
        <v>19</v>
      </c>
      <c r="F6" s="8">
        <v>9.9</v>
      </c>
      <c r="G6" s="12">
        <v>47</v>
      </c>
      <c r="H6" s="8">
        <v>22.82</v>
      </c>
      <c r="I6" s="12">
        <v>0</v>
      </c>
    </row>
    <row r="7" spans="2:9" ht="15" customHeight="1" x14ac:dyDescent="0.2">
      <c r="B7" t="s">
        <v>77</v>
      </c>
      <c r="C7" s="12">
        <v>33</v>
      </c>
      <c r="D7" s="8">
        <v>8.25</v>
      </c>
      <c r="E7" s="12">
        <v>14</v>
      </c>
      <c r="F7" s="8">
        <v>7.29</v>
      </c>
      <c r="G7" s="12">
        <v>19</v>
      </c>
      <c r="H7" s="8">
        <v>9.2200000000000006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0.25</v>
      </c>
      <c r="E8" s="12">
        <v>0</v>
      </c>
      <c r="F8" s="8">
        <v>0</v>
      </c>
      <c r="G8" s="12">
        <v>1</v>
      </c>
      <c r="H8" s="8">
        <v>0.49</v>
      </c>
      <c r="I8" s="12">
        <v>0</v>
      </c>
    </row>
    <row r="9" spans="2:9" ht="15" customHeight="1" x14ac:dyDescent="0.2">
      <c r="B9" t="s">
        <v>79</v>
      </c>
      <c r="C9" s="12">
        <v>5</v>
      </c>
      <c r="D9" s="8">
        <v>1.25</v>
      </c>
      <c r="E9" s="12">
        <v>0</v>
      </c>
      <c r="F9" s="8">
        <v>0</v>
      </c>
      <c r="G9" s="12">
        <v>5</v>
      </c>
      <c r="H9" s="8">
        <v>2.4300000000000002</v>
      </c>
      <c r="I9" s="12">
        <v>0</v>
      </c>
    </row>
    <row r="10" spans="2:9" ht="15" customHeight="1" x14ac:dyDescent="0.2">
      <c r="B10" t="s">
        <v>80</v>
      </c>
      <c r="C10" s="12">
        <v>10</v>
      </c>
      <c r="D10" s="8">
        <v>2.5</v>
      </c>
      <c r="E10" s="12">
        <v>1</v>
      </c>
      <c r="F10" s="8">
        <v>0.52</v>
      </c>
      <c r="G10" s="12">
        <v>9</v>
      </c>
      <c r="H10" s="8">
        <v>4.37</v>
      </c>
      <c r="I10" s="12">
        <v>0</v>
      </c>
    </row>
    <row r="11" spans="2:9" ht="15" customHeight="1" x14ac:dyDescent="0.2">
      <c r="B11" t="s">
        <v>81</v>
      </c>
      <c r="C11" s="12">
        <v>91</v>
      </c>
      <c r="D11" s="8">
        <v>22.75</v>
      </c>
      <c r="E11" s="12">
        <v>48</v>
      </c>
      <c r="F11" s="8">
        <v>25</v>
      </c>
      <c r="G11" s="12">
        <v>43</v>
      </c>
      <c r="H11" s="8">
        <v>20.87</v>
      </c>
      <c r="I11" s="12">
        <v>0</v>
      </c>
    </row>
    <row r="12" spans="2:9" ht="15" customHeight="1" x14ac:dyDescent="0.2">
      <c r="B12" t="s">
        <v>82</v>
      </c>
      <c r="C12" s="12">
        <v>1</v>
      </c>
      <c r="D12" s="8">
        <v>0.25</v>
      </c>
      <c r="E12" s="12">
        <v>0</v>
      </c>
      <c r="F12" s="8">
        <v>0</v>
      </c>
      <c r="G12" s="12">
        <v>1</v>
      </c>
      <c r="H12" s="8">
        <v>0.49</v>
      </c>
      <c r="I12" s="12">
        <v>0</v>
      </c>
    </row>
    <row r="13" spans="2:9" ht="15" customHeight="1" x14ac:dyDescent="0.2">
      <c r="B13" t="s">
        <v>83</v>
      </c>
      <c r="C13" s="12">
        <v>35</v>
      </c>
      <c r="D13" s="8">
        <v>8.75</v>
      </c>
      <c r="E13" s="12">
        <v>8</v>
      </c>
      <c r="F13" s="8">
        <v>4.17</v>
      </c>
      <c r="G13" s="12">
        <v>27</v>
      </c>
      <c r="H13" s="8">
        <v>13.11</v>
      </c>
      <c r="I13" s="12">
        <v>0</v>
      </c>
    </row>
    <row r="14" spans="2:9" ht="15" customHeight="1" x14ac:dyDescent="0.2">
      <c r="B14" t="s">
        <v>84</v>
      </c>
      <c r="C14" s="12">
        <v>19</v>
      </c>
      <c r="D14" s="8">
        <v>4.75</v>
      </c>
      <c r="E14" s="12">
        <v>7</v>
      </c>
      <c r="F14" s="8">
        <v>3.65</v>
      </c>
      <c r="G14" s="12">
        <v>12</v>
      </c>
      <c r="H14" s="8">
        <v>5.83</v>
      </c>
      <c r="I14" s="12">
        <v>0</v>
      </c>
    </row>
    <row r="15" spans="2:9" ht="15" customHeight="1" x14ac:dyDescent="0.2">
      <c r="B15" t="s">
        <v>85</v>
      </c>
      <c r="C15" s="12">
        <v>46</v>
      </c>
      <c r="D15" s="8">
        <v>11.5</v>
      </c>
      <c r="E15" s="12">
        <v>35</v>
      </c>
      <c r="F15" s="8">
        <v>18.23</v>
      </c>
      <c r="G15" s="12">
        <v>11</v>
      </c>
      <c r="H15" s="8">
        <v>5.34</v>
      </c>
      <c r="I15" s="12">
        <v>0</v>
      </c>
    </row>
    <row r="16" spans="2:9" ht="15" customHeight="1" x14ac:dyDescent="0.2">
      <c r="B16" t="s">
        <v>86</v>
      </c>
      <c r="C16" s="12">
        <v>52</v>
      </c>
      <c r="D16" s="8">
        <v>13</v>
      </c>
      <c r="E16" s="12">
        <v>38</v>
      </c>
      <c r="F16" s="8">
        <v>19.79</v>
      </c>
      <c r="G16" s="12">
        <v>13</v>
      </c>
      <c r="H16" s="8">
        <v>6.31</v>
      </c>
      <c r="I16" s="12">
        <v>0</v>
      </c>
    </row>
    <row r="17" spans="2:9" ht="15" customHeight="1" x14ac:dyDescent="0.2">
      <c r="B17" t="s">
        <v>87</v>
      </c>
      <c r="C17" s="12">
        <v>10</v>
      </c>
      <c r="D17" s="8">
        <v>2.5</v>
      </c>
      <c r="E17" s="12">
        <v>8</v>
      </c>
      <c r="F17" s="8">
        <v>4.17</v>
      </c>
      <c r="G17" s="12">
        <v>2</v>
      </c>
      <c r="H17" s="8">
        <v>0.97</v>
      </c>
      <c r="I17" s="12">
        <v>0</v>
      </c>
    </row>
    <row r="18" spans="2:9" ht="15" customHeight="1" x14ac:dyDescent="0.2">
      <c r="B18" t="s">
        <v>88</v>
      </c>
      <c r="C18" s="12">
        <v>14</v>
      </c>
      <c r="D18" s="8">
        <v>3.5</v>
      </c>
      <c r="E18" s="12">
        <v>11</v>
      </c>
      <c r="F18" s="8">
        <v>5.73</v>
      </c>
      <c r="G18" s="12">
        <v>3</v>
      </c>
      <c r="H18" s="8">
        <v>1.46</v>
      </c>
      <c r="I18" s="12">
        <v>0</v>
      </c>
    </row>
    <row r="19" spans="2:9" ht="15" customHeight="1" x14ac:dyDescent="0.2">
      <c r="B19" t="s">
        <v>89</v>
      </c>
      <c r="C19" s="12">
        <v>17</v>
      </c>
      <c r="D19" s="8">
        <v>4.25</v>
      </c>
      <c r="E19" s="12">
        <v>3</v>
      </c>
      <c r="F19" s="8">
        <v>1.56</v>
      </c>
      <c r="G19" s="12">
        <v>13</v>
      </c>
      <c r="H19" s="8">
        <v>6.31</v>
      </c>
      <c r="I19" s="12">
        <v>0</v>
      </c>
    </row>
    <row r="20" spans="2:9" ht="15" customHeight="1" x14ac:dyDescent="0.2">
      <c r="B20" s="9" t="s">
        <v>285</v>
      </c>
      <c r="C20" s="12">
        <f>SUM(LTBL_40342[総数／事業所数])</f>
        <v>400</v>
      </c>
      <c r="E20" s="12">
        <f>SUBTOTAL(109,LTBL_40342[個人／事業所数])</f>
        <v>192</v>
      </c>
      <c r="G20" s="12">
        <f>SUBTOTAL(109,LTBL_40342[法人／事業所数])</f>
        <v>206</v>
      </c>
      <c r="I20" s="12">
        <f>SUBTOTAL(109,LTBL_40342[法人以外の団体／事業所数])</f>
        <v>0</v>
      </c>
    </row>
    <row r="21" spans="2:9" ht="15" customHeight="1" x14ac:dyDescent="0.2">
      <c r="E21" s="11">
        <f>LTBL_40342[[#Totals],[個人／事業所数]]/LTBL_40342[[#Totals],[総数／事業所数]]</f>
        <v>0.48</v>
      </c>
      <c r="G21" s="11">
        <f>LTBL_40342[[#Totals],[法人／事業所数]]/LTBL_40342[[#Totals],[総数／事業所数]]</f>
        <v>0.51500000000000001</v>
      </c>
      <c r="I21" s="11">
        <f>LTBL_40342[[#Totals],[法人以外の団体／事業所数]]/LTBL_40342[[#Totals],[総数／事業所数]]</f>
        <v>0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43</v>
      </c>
      <c r="D24" s="8">
        <v>10.75</v>
      </c>
      <c r="E24" s="12">
        <v>38</v>
      </c>
      <c r="F24" s="8">
        <v>19.79</v>
      </c>
      <c r="G24" s="12">
        <v>5</v>
      </c>
      <c r="H24" s="8">
        <v>2.4300000000000002</v>
      </c>
      <c r="I24" s="12">
        <v>0</v>
      </c>
    </row>
    <row r="25" spans="2:9" ht="15" customHeight="1" x14ac:dyDescent="0.2">
      <c r="B25" t="s">
        <v>112</v>
      </c>
      <c r="C25" s="12">
        <v>35</v>
      </c>
      <c r="D25" s="8">
        <v>8.75</v>
      </c>
      <c r="E25" s="12">
        <v>29</v>
      </c>
      <c r="F25" s="8">
        <v>15.1</v>
      </c>
      <c r="G25" s="12">
        <v>6</v>
      </c>
      <c r="H25" s="8">
        <v>2.91</v>
      </c>
      <c r="I25" s="12">
        <v>0</v>
      </c>
    </row>
    <row r="26" spans="2:9" ht="15" customHeight="1" x14ac:dyDescent="0.2">
      <c r="B26" t="s">
        <v>98</v>
      </c>
      <c r="C26" s="12">
        <v>31</v>
      </c>
      <c r="D26" s="8">
        <v>7.75</v>
      </c>
      <c r="E26" s="12">
        <v>6</v>
      </c>
      <c r="F26" s="8">
        <v>3.13</v>
      </c>
      <c r="G26" s="12">
        <v>25</v>
      </c>
      <c r="H26" s="8">
        <v>12.14</v>
      </c>
      <c r="I26" s="12">
        <v>0</v>
      </c>
    </row>
    <row r="27" spans="2:9" ht="15" customHeight="1" x14ac:dyDescent="0.2">
      <c r="B27" t="s">
        <v>109</v>
      </c>
      <c r="C27" s="12">
        <v>28</v>
      </c>
      <c r="D27" s="8">
        <v>7</v>
      </c>
      <c r="E27" s="12">
        <v>8</v>
      </c>
      <c r="F27" s="8">
        <v>4.17</v>
      </c>
      <c r="G27" s="12">
        <v>20</v>
      </c>
      <c r="H27" s="8">
        <v>9.7100000000000009</v>
      </c>
      <c r="I27" s="12">
        <v>0</v>
      </c>
    </row>
    <row r="28" spans="2:9" ht="15" customHeight="1" x14ac:dyDescent="0.2">
      <c r="B28" t="s">
        <v>107</v>
      </c>
      <c r="C28" s="12">
        <v>26</v>
      </c>
      <c r="D28" s="8">
        <v>6.5</v>
      </c>
      <c r="E28" s="12">
        <v>18</v>
      </c>
      <c r="F28" s="8">
        <v>9.3800000000000008</v>
      </c>
      <c r="G28" s="12">
        <v>8</v>
      </c>
      <c r="H28" s="8">
        <v>3.88</v>
      </c>
      <c r="I28" s="12">
        <v>0</v>
      </c>
    </row>
    <row r="29" spans="2:9" ht="15" customHeight="1" x14ac:dyDescent="0.2">
      <c r="B29" t="s">
        <v>99</v>
      </c>
      <c r="C29" s="12">
        <v>20</v>
      </c>
      <c r="D29" s="8">
        <v>5</v>
      </c>
      <c r="E29" s="12">
        <v>9</v>
      </c>
      <c r="F29" s="8">
        <v>4.6900000000000004</v>
      </c>
      <c r="G29" s="12">
        <v>11</v>
      </c>
      <c r="H29" s="8">
        <v>5.34</v>
      </c>
      <c r="I29" s="12">
        <v>0</v>
      </c>
    </row>
    <row r="30" spans="2:9" ht="15" customHeight="1" x14ac:dyDescent="0.2">
      <c r="B30" t="s">
        <v>100</v>
      </c>
      <c r="C30" s="12">
        <v>15</v>
      </c>
      <c r="D30" s="8">
        <v>3.75</v>
      </c>
      <c r="E30" s="12">
        <v>4</v>
      </c>
      <c r="F30" s="8">
        <v>2.08</v>
      </c>
      <c r="G30" s="12">
        <v>11</v>
      </c>
      <c r="H30" s="8">
        <v>5.34</v>
      </c>
      <c r="I30" s="12">
        <v>0</v>
      </c>
    </row>
    <row r="31" spans="2:9" ht="15" customHeight="1" x14ac:dyDescent="0.2">
      <c r="B31" t="s">
        <v>106</v>
      </c>
      <c r="C31" s="12">
        <v>15</v>
      </c>
      <c r="D31" s="8">
        <v>3.75</v>
      </c>
      <c r="E31" s="12">
        <v>11</v>
      </c>
      <c r="F31" s="8">
        <v>5.73</v>
      </c>
      <c r="G31" s="12">
        <v>4</v>
      </c>
      <c r="H31" s="8">
        <v>1.94</v>
      </c>
      <c r="I31" s="12">
        <v>0</v>
      </c>
    </row>
    <row r="32" spans="2:9" ht="15" customHeight="1" x14ac:dyDescent="0.2">
      <c r="B32" t="s">
        <v>105</v>
      </c>
      <c r="C32" s="12">
        <v>13</v>
      </c>
      <c r="D32" s="8">
        <v>3.25</v>
      </c>
      <c r="E32" s="12">
        <v>12</v>
      </c>
      <c r="F32" s="8">
        <v>6.25</v>
      </c>
      <c r="G32" s="12">
        <v>1</v>
      </c>
      <c r="H32" s="8">
        <v>0.49</v>
      </c>
      <c r="I32" s="12">
        <v>0</v>
      </c>
    </row>
    <row r="33" spans="2:9" ht="15" customHeight="1" x14ac:dyDescent="0.2">
      <c r="B33" t="s">
        <v>110</v>
      </c>
      <c r="C33" s="12">
        <v>12</v>
      </c>
      <c r="D33" s="8">
        <v>3</v>
      </c>
      <c r="E33" s="12">
        <v>5</v>
      </c>
      <c r="F33" s="8">
        <v>2.6</v>
      </c>
      <c r="G33" s="12">
        <v>7</v>
      </c>
      <c r="H33" s="8">
        <v>3.4</v>
      </c>
      <c r="I33" s="12">
        <v>0</v>
      </c>
    </row>
    <row r="34" spans="2:9" ht="15" customHeight="1" x14ac:dyDescent="0.2">
      <c r="B34" t="s">
        <v>115</v>
      </c>
      <c r="C34" s="12">
        <v>12</v>
      </c>
      <c r="D34" s="8">
        <v>3</v>
      </c>
      <c r="E34" s="12">
        <v>11</v>
      </c>
      <c r="F34" s="8">
        <v>5.73</v>
      </c>
      <c r="G34" s="12">
        <v>1</v>
      </c>
      <c r="H34" s="8">
        <v>0.49</v>
      </c>
      <c r="I34" s="12">
        <v>0</v>
      </c>
    </row>
    <row r="35" spans="2:9" ht="15" customHeight="1" x14ac:dyDescent="0.2">
      <c r="B35" t="s">
        <v>114</v>
      </c>
      <c r="C35" s="12">
        <v>10</v>
      </c>
      <c r="D35" s="8">
        <v>2.5</v>
      </c>
      <c r="E35" s="12">
        <v>8</v>
      </c>
      <c r="F35" s="8">
        <v>4.17</v>
      </c>
      <c r="G35" s="12">
        <v>2</v>
      </c>
      <c r="H35" s="8">
        <v>0.97</v>
      </c>
      <c r="I35" s="12">
        <v>0</v>
      </c>
    </row>
    <row r="36" spans="2:9" ht="15" customHeight="1" x14ac:dyDescent="0.2">
      <c r="B36" t="s">
        <v>137</v>
      </c>
      <c r="C36" s="12">
        <v>8</v>
      </c>
      <c r="D36" s="8">
        <v>2</v>
      </c>
      <c r="E36" s="12">
        <v>0</v>
      </c>
      <c r="F36" s="8">
        <v>0</v>
      </c>
      <c r="G36" s="12">
        <v>8</v>
      </c>
      <c r="H36" s="8">
        <v>3.88</v>
      </c>
      <c r="I36" s="12">
        <v>0</v>
      </c>
    </row>
    <row r="37" spans="2:9" ht="15" customHeight="1" x14ac:dyDescent="0.2">
      <c r="B37" t="s">
        <v>104</v>
      </c>
      <c r="C37" s="12">
        <v>8</v>
      </c>
      <c r="D37" s="8">
        <v>2</v>
      </c>
      <c r="E37" s="12">
        <v>5</v>
      </c>
      <c r="F37" s="8">
        <v>2.6</v>
      </c>
      <c r="G37" s="12">
        <v>3</v>
      </c>
      <c r="H37" s="8">
        <v>1.46</v>
      </c>
      <c r="I37" s="12">
        <v>0</v>
      </c>
    </row>
    <row r="38" spans="2:9" ht="15" customHeight="1" x14ac:dyDescent="0.2">
      <c r="B38" t="s">
        <v>118</v>
      </c>
      <c r="C38" s="12">
        <v>7</v>
      </c>
      <c r="D38" s="8">
        <v>1.75</v>
      </c>
      <c r="E38" s="12">
        <v>0</v>
      </c>
      <c r="F38" s="8">
        <v>0</v>
      </c>
      <c r="G38" s="12">
        <v>7</v>
      </c>
      <c r="H38" s="8">
        <v>3.4</v>
      </c>
      <c r="I38" s="12">
        <v>0</v>
      </c>
    </row>
    <row r="39" spans="2:9" ht="15" customHeight="1" x14ac:dyDescent="0.2">
      <c r="B39" t="s">
        <v>102</v>
      </c>
      <c r="C39" s="12">
        <v>6</v>
      </c>
      <c r="D39" s="8">
        <v>1.5</v>
      </c>
      <c r="E39" s="12">
        <v>1</v>
      </c>
      <c r="F39" s="8">
        <v>0.52</v>
      </c>
      <c r="G39" s="12">
        <v>5</v>
      </c>
      <c r="H39" s="8">
        <v>2.4300000000000002</v>
      </c>
      <c r="I39" s="12">
        <v>0</v>
      </c>
    </row>
    <row r="40" spans="2:9" ht="15" customHeight="1" x14ac:dyDescent="0.2">
      <c r="B40" t="s">
        <v>103</v>
      </c>
      <c r="C40" s="12">
        <v>6</v>
      </c>
      <c r="D40" s="8">
        <v>1.5</v>
      </c>
      <c r="E40" s="12">
        <v>0</v>
      </c>
      <c r="F40" s="8">
        <v>0</v>
      </c>
      <c r="G40" s="12">
        <v>6</v>
      </c>
      <c r="H40" s="8">
        <v>2.91</v>
      </c>
      <c r="I40" s="12">
        <v>0</v>
      </c>
    </row>
    <row r="41" spans="2:9" ht="15" customHeight="1" x14ac:dyDescent="0.2">
      <c r="B41" t="s">
        <v>108</v>
      </c>
      <c r="C41" s="12">
        <v>6</v>
      </c>
      <c r="D41" s="8">
        <v>1.5</v>
      </c>
      <c r="E41" s="12">
        <v>0</v>
      </c>
      <c r="F41" s="8">
        <v>0</v>
      </c>
      <c r="G41" s="12">
        <v>6</v>
      </c>
      <c r="H41" s="8">
        <v>2.91</v>
      </c>
      <c r="I41" s="12">
        <v>0</v>
      </c>
    </row>
    <row r="42" spans="2:9" ht="15" customHeight="1" x14ac:dyDescent="0.2">
      <c r="B42" t="s">
        <v>111</v>
      </c>
      <c r="C42" s="12">
        <v>6</v>
      </c>
      <c r="D42" s="8">
        <v>1.5</v>
      </c>
      <c r="E42" s="12">
        <v>2</v>
      </c>
      <c r="F42" s="8">
        <v>1.04</v>
      </c>
      <c r="G42" s="12">
        <v>4</v>
      </c>
      <c r="H42" s="8">
        <v>1.94</v>
      </c>
      <c r="I42" s="12">
        <v>0</v>
      </c>
    </row>
    <row r="43" spans="2:9" ht="15" customHeight="1" x14ac:dyDescent="0.2">
      <c r="B43" t="s">
        <v>121</v>
      </c>
      <c r="C43" s="12">
        <v>6</v>
      </c>
      <c r="D43" s="8">
        <v>1.5</v>
      </c>
      <c r="E43" s="12">
        <v>2</v>
      </c>
      <c r="F43" s="8">
        <v>1.04</v>
      </c>
      <c r="G43" s="12">
        <v>4</v>
      </c>
      <c r="H43" s="8">
        <v>1.94</v>
      </c>
      <c r="I43" s="12">
        <v>0</v>
      </c>
    </row>
    <row r="44" spans="2:9" ht="15" customHeight="1" x14ac:dyDescent="0.2">
      <c r="B44" t="s">
        <v>123</v>
      </c>
      <c r="C44" s="12">
        <v>6</v>
      </c>
      <c r="D44" s="8">
        <v>1.5</v>
      </c>
      <c r="E44" s="12">
        <v>2</v>
      </c>
      <c r="F44" s="8">
        <v>1.04</v>
      </c>
      <c r="G44" s="12">
        <v>4</v>
      </c>
      <c r="H44" s="8">
        <v>1.94</v>
      </c>
      <c r="I44" s="12">
        <v>0</v>
      </c>
    </row>
    <row r="45" spans="2:9" ht="15" customHeight="1" x14ac:dyDescent="0.2">
      <c r="B45" t="s">
        <v>117</v>
      </c>
      <c r="C45" s="12">
        <v>6</v>
      </c>
      <c r="D45" s="8">
        <v>1.5</v>
      </c>
      <c r="E45" s="12">
        <v>1</v>
      </c>
      <c r="F45" s="8">
        <v>0.52</v>
      </c>
      <c r="G45" s="12">
        <v>5</v>
      </c>
      <c r="H45" s="8">
        <v>2.4300000000000002</v>
      </c>
      <c r="I45" s="12">
        <v>0</v>
      </c>
    </row>
    <row r="48" spans="2:9" ht="33" customHeight="1" x14ac:dyDescent="0.2">
      <c r="B48" t="s">
        <v>287</v>
      </c>
      <c r="C48" s="10" t="s">
        <v>91</v>
      </c>
      <c r="D48" s="10" t="s">
        <v>92</v>
      </c>
      <c r="E48" s="10" t="s">
        <v>93</v>
      </c>
      <c r="F48" s="10" t="s">
        <v>94</v>
      </c>
      <c r="G48" s="10" t="s">
        <v>95</v>
      </c>
      <c r="H48" s="10" t="s">
        <v>96</v>
      </c>
      <c r="I48" s="10" t="s">
        <v>97</v>
      </c>
    </row>
    <row r="49" spans="2:9" ht="15" customHeight="1" x14ac:dyDescent="0.2">
      <c r="B49" t="s">
        <v>170</v>
      </c>
      <c r="C49" s="12">
        <v>23</v>
      </c>
      <c r="D49" s="8">
        <v>5.75</v>
      </c>
      <c r="E49" s="12">
        <v>23</v>
      </c>
      <c r="F49" s="8">
        <v>11.98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164</v>
      </c>
      <c r="C50" s="12">
        <v>21</v>
      </c>
      <c r="D50" s="8">
        <v>5.25</v>
      </c>
      <c r="E50" s="12">
        <v>7</v>
      </c>
      <c r="F50" s="8">
        <v>3.65</v>
      </c>
      <c r="G50" s="12">
        <v>14</v>
      </c>
      <c r="H50" s="8">
        <v>6.8</v>
      </c>
      <c r="I50" s="12">
        <v>0</v>
      </c>
    </row>
    <row r="51" spans="2:9" ht="15" customHeight="1" x14ac:dyDescent="0.2">
      <c r="B51" t="s">
        <v>161</v>
      </c>
      <c r="C51" s="12">
        <v>11</v>
      </c>
      <c r="D51" s="8">
        <v>2.75</v>
      </c>
      <c r="E51" s="12">
        <v>10</v>
      </c>
      <c r="F51" s="8">
        <v>5.21</v>
      </c>
      <c r="G51" s="12">
        <v>1</v>
      </c>
      <c r="H51" s="8">
        <v>0.49</v>
      </c>
      <c r="I51" s="12">
        <v>0</v>
      </c>
    </row>
    <row r="52" spans="2:9" ht="15" customHeight="1" x14ac:dyDescent="0.2">
      <c r="B52" t="s">
        <v>169</v>
      </c>
      <c r="C52" s="12">
        <v>11</v>
      </c>
      <c r="D52" s="8">
        <v>2.75</v>
      </c>
      <c r="E52" s="12">
        <v>11</v>
      </c>
      <c r="F52" s="8">
        <v>5.73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186</v>
      </c>
      <c r="C53" s="12">
        <v>10</v>
      </c>
      <c r="D53" s="8">
        <v>2.5</v>
      </c>
      <c r="E53" s="12">
        <v>5</v>
      </c>
      <c r="F53" s="8">
        <v>2.6</v>
      </c>
      <c r="G53" s="12">
        <v>5</v>
      </c>
      <c r="H53" s="8">
        <v>2.4300000000000002</v>
      </c>
      <c r="I53" s="12">
        <v>0</v>
      </c>
    </row>
    <row r="54" spans="2:9" ht="15" customHeight="1" x14ac:dyDescent="0.2">
      <c r="B54" t="s">
        <v>154</v>
      </c>
      <c r="C54" s="12">
        <v>9</v>
      </c>
      <c r="D54" s="8">
        <v>2.25</v>
      </c>
      <c r="E54" s="12">
        <v>1</v>
      </c>
      <c r="F54" s="8">
        <v>0.52</v>
      </c>
      <c r="G54" s="12">
        <v>8</v>
      </c>
      <c r="H54" s="8">
        <v>3.88</v>
      </c>
      <c r="I54" s="12">
        <v>0</v>
      </c>
    </row>
    <row r="55" spans="2:9" ht="15" customHeight="1" x14ac:dyDescent="0.2">
      <c r="B55" t="s">
        <v>159</v>
      </c>
      <c r="C55" s="12">
        <v>9</v>
      </c>
      <c r="D55" s="8">
        <v>2.25</v>
      </c>
      <c r="E55" s="12">
        <v>7</v>
      </c>
      <c r="F55" s="8">
        <v>3.65</v>
      </c>
      <c r="G55" s="12">
        <v>2</v>
      </c>
      <c r="H55" s="8">
        <v>0.97</v>
      </c>
      <c r="I55" s="12">
        <v>0</v>
      </c>
    </row>
    <row r="56" spans="2:9" ht="15" customHeight="1" x14ac:dyDescent="0.2">
      <c r="B56" t="s">
        <v>172</v>
      </c>
      <c r="C56" s="12">
        <v>9</v>
      </c>
      <c r="D56" s="8">
        <v>2.25</v>
      </c>
      <c r="E56" s="12">
        <v>8</v>
      </c>
      <c r="F56" s="8">
        <v>4.17</v>
      </c>
      <c r="G56" s="12">
        <v>1</v>
      </c>
      <c r="H56" s="8">
        <v>0.49</v>
      </c>
      <c r="I56" s="12">
        <v>0</v>
      </c>
    </row>
    <row r="57" spans="2:9" ht="15" customHeight="1" x14ac:dyDescent="0.2">
      <c r="B57" t="s">
        <v>155</v>
      </c>
      <c r="C57" s="12">
        <v>8</v>
      </c>
      <c r="D57" s="8">
        <v>2</v>
      </c>
      <c r="E57" s="12">
        <v>0</v>
      </c>
      <c r="F57" s="8">
        <v>0</v>
      </c>
      <c r="G57" s="12">
        <v>8</v>
      </c>
      <c r="H57" s="8">
        <v>3.88</v>
      </c>
      <c r="I57" s="12">
        <v>0</v>
      </c>
    </row>
    <row r="58" spans="2:9" ht="15" customHeight="1" x14ac:dyDescent="0.2">
      <c r="B58" t="s">
        <v>166</v>
      </c>
      <c r="C58" s="12">
        <v>8</v>
      </c>
      <c r="D58" s="8">
        <v>2</v>
      </c>
      <c r="E58" s="12">
        <v>6</v>
      </c>
      <c r="F58" s="8">
        <v>3.13</v>
      </c>
      <c r="G58" s="12">
        <v>2</v>
      </c>
      <c r="H58" s="8">
        <v>0.97</v>
      </c>
      <c r="I58" s="12">
        <v>0</v>
      </c>
    </row>
    <row r="59" spans="2:9" ht="15" customHeight="1" x14ac:dyDescent="0.2">
      <c r="B59" t="s">
        <v>158</v>
      </c>
      <c r="C59" s="12">
        <v>7</v>
      </c>
      <c r="D59" s="8">
        <v>1.75</v>
      </c>
      <c r="E59" s="12">
        <v>7</v>
      </c>
      <c r="F59" s="8">
        <v>3.65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160</v>
      </c>
      <c r="C60" s="12">
        <v>7</v>
      </c>
      <c r="D60" s="8">
        <v>1.75</v>
      </c>
      <c r="E60" s="12">
        <v>3</v>
      </c>
      <c r="F60" s="8">
        <v>1.56</v>
      </c>
      <c r="G60" s="12">
        <v>4</v>
      </c>
      <c r="H60" s="8">
        <v>1.94</v>
      </c>
      <c r="I60" s="12">
        <v>0</v>
      </c>
    </row>
    <row r="61" spans="2:9" ht="15" customHeight="1" x14ac:dyDescent="0.2">
      <c r="B61" t="s">
        <v>167</v>
      </c>
      <c r="C61" s="12">
        <v>7</v>
      </c>
      <c r="D61" s="8">
        <v>1.75</v>
      </c>
      <c r="E61" s="12">
        <v>6</v>
      </c>
      <c r="F61" s="8">
        <v>3.13</v>
      </c>
      <c r="G61" s="12">
        <v>1</v>
      </c>
      <c r="H61" s="8">
        <v>0.49</v>
      </c>
      <c r="I61" s="12">
        <v>0</v>
      </c>
    </row>
    <row r="62" spans="2:9" ht="15" customHeight="1" x14ac:dyDescent="0.2">
      <c r="B62" t="s">
        <v>182</v>
      </c>
      <c r="C62" s="12">
        <v>7</v>
      </c>
      <c r="D62" s="8">
        <v>1.75</v>
      </c>
      <c r="E62" s="12">
        <v>3</v>
      </c>
      <c r="F62" s="8">
        <v>1.56</v>
      </c>
      <c r="G62" s="12">
        <v>4</v>
      </c>
      <c r="H62" s="8">
        <v>1.94</v>
      </c>
      <c r="I62" s="12">
        <v>0</v>
      </c>
    </row>
    <row r="63" spans="2:9" ht="15" customHeight="1" x14ac:dyDescent="0.2">
      <c r="B63" t="s">
        <v>220</v>
      </c>
      <c r="C63" s="12">
        <v>7</v>
      </c>
      <c r="D63" s="8">
        <v>1.75</v>
      </c>
      <c r="E63" s="12">
        <v>6</v>
      </c>
      <c r="F63" s="8">
        <v>3.13</v>
      </c>
      <c r="G63" s="12">
        <v>1</v>
      </c>
      <c r="H63" s="8">
        <v>0.49</v>
      </c>
      <c r="I63" s="12">
        <v>0</v>
      </c>
    </row>
    <row r="64" spans="2:9" ht="15" customHeight="1" x14ac:dyDescent="0.2">
      <c r="B64" t="s">
        <v>202</v>
      </c>
      <c r="C64" s="12">
        <v>6</v>
      </c>
      <c r="D64" s="8">
        <v>1.5</v>
      </c>
      <c r="E64" s="12">
        <v>5</v>
      </c>
      <c r="F64" s="8">
        <v>2.6</v>
      </c>
      <c r="G64" s="12">
        <v>1</v>
      </c>
      <c r="H64" s="8">
        <v>0.49</v>
      </c>
      <c r="I64" s="12">
        <v>0</v>
      </c>
    </row>
    <row r="65" spans="2:9" ht="15" customHeight="1" x14ac:dyDescent="0.2">
      <c r="B65" t="s">
        <v>174</v>
      </c>
      <c r="C65" s="12">
        <v>6</v>
      </c>
      <c r="D65" s="8">
        <v>1.5</v>
      </c>
      <c r="E65" s="12">
        <v>2</v>
      </c>
      <c r="F65" s="8">
        <v>1.04</v>
      </c>
      <c r="G65" s="12">
        <v>4</v>
      </c>
      <c r="H65" s="8">
        <v>1.94</v>
      </c>
      <c r="I65" s="12">
        <v>0</v>
      </c>
    </row>
    <row r="66" spans="2:9" ht="15" customHeight="1" x14ac:dyDescent="0.2">
      <c r="B66" t="s">
        <v>231</v>
      </c>
      <c r="C66" s="12">
        <v>6</v>
      </c>
      <c r="D66" s="8">
        <v>1.5</v>
      </c>
      <c r="E66" s="12">
        <v>4</v>
      </c>
      <c r="F66" s="8">
        <v>2.08</v>
      </c>
      <c r="G66" s="12">
        <v>2</v>
      </c>
      <c r="H66" s="8">
        <v>0.97</v>
      </c>
      <c r="I66" s="12">
        <v>0</v>
      </c>
    </row>
    <row r="67" spans="2:9" ht="15" customHeight="1" x14ac:dyDescent="0.2">
      <c r="B67" t="s">
        <v>173</v>
      </c>
      <c r="C67" s="12">
        <v>6</v>
      </c>
      <c r="D67" s="8">
        <v>1.5</v>
      </c>
      <c r="E67" s="12">
        <v>2</v>
      </c>
      <c r="F67" s="8">
        <v>1.04</v>
      </c>
      <c r="G67" s="12">
        <v>4</v>
      </c>
      <c r="H67" s="8">
        <v>1.94</v>
      </c>
      <c r="I67" s="12">
        <v>0</v>
      </c>
    </row>
    <row r="68" spans="2:9" ht="15" customHeight="1" x14ac:dyDescent="0.2">
      <c r="B68" t="s">
        <v>156</v>
      </c>
      <c r="C68" s="12">
        <v>5</v>
      </c>
      <c r="D68" s="8">
        <v>1.25</v>
      </c>
      <c r="E68" s="12">
        <v>2</v>
      </c>
      <c r="F68" s="8">
        <v>1.04</v>
      </c>
      <c r="G68" s="12">
        <v>3</v>
      </c>
      <c r="H68" s="8">
        <v>1.46</v>
      </c>
      <c r="I68" s="12">
        <v>0</v>
      </c>
    </row>
    <row r="69" spans="2:9" ht="15" customHeight="1" x14ac:dyDescent="0.2">
      <c r="B69" t="s">
        <v>224</v>
      </c>
      <c r="C69" s="12">
        <v>5</v>
      </c>
      <c r="D69" s="8">
        <v>1.25</v>
      </c>
      <c r="E69" s="12">
        <v>0</v>
      </c>
      <c r="F69" s="8">
        <v>0</v>
      </c>
      <c r="G69" s="12">
        <v>5</v>
      </c>
      <c r="H69" s="8">
        <v>2.4300000000000002</v>
      </c>
      <c r="I69" s="12">
        <v>0</v>
      </c>
    </row>
    <row r="70" spans="2:9" ht="15" customHeight="1" x14ac:dyDescent="0.2">
      <c r="B70" t="s">
        <v>157</v>
      </c>
      <c r="C70" s="12">
        <v>5</v>
      </c>
      <c r="D70" s="8">
        <v>1.25</v>
      </c>
      <c r="E70" s="12">
        <v>3</v>
      </c>
      <c r="F70" s="8">
        <v>1.56</v>
      </c>
      <c r="G70" s="12">
        <v>2</v>
      </c>
      <c r="H70" s="8">
        <v>0.97</v>
      </c>
      <c r="I70" s="12">
        <v>0</v>
      </c>
    </row>
    <row r="71" spans="2:9" ht="15" customHeight="1" x14ac:dyDescent="0.2">
      <c r="B71" t="s">
        <v>177</v>
      </c>
      <c r="C71" s="12">
        <v>5</v>
      </c>
      <c r="D71" s="8">
        <v>1.25</v>
      </c>
      <c r="E71" s="12">
        <v>4</v>
      </c>
      <c r="F71" s="8">
        <v>2.08</v>
      </c>
      <c r="G71" s="12">
        <v>1</v>
      </c>
      <c r="H71" s="8">
        <v>0.49</v>
      </c>
      <c r="I71" s="12">
        <v>0</v>
      </c>
    </row>
    <row r="72" spans="2:9" ht="15" customHeight="1" x14ac:dyDescent="0.2">
      <c r="B72" t="s">
        <v>188</v>
      </c>
      <c r="C72" s="12">
        <v>5</v>
      </c>
      <c r="D72" s="8">
        <v>1.25</v>
      </c>
      <c r="E72" s="12">
        <v>0</v>
      </c>
      <c r="F72" s="8">
        <v>0</v>
      </c>
      <c r="G72" s="12">
        <v>5</v>
      </c>
      <c r="H72" s="8">
        <v>2.4300000000000002</v>
      </c>
      <c r="I72" s="12">
        <v>0</v>
      </c>
    </row>
    <row r="73" spans="2:9" ht="15" customHeight="1" x14ac:dyDescent="0.2">
      <c r="B73" t="s">
        <v>230</v>
      </c>
      <c r="C73" s="12">
        <v>5</v>
      </c>
      <c r="D73" s="8">
        <v>1.25</v>
      </c>
      <c r="E73" s="12">
        <v>4</v>
      </c>
      <c r="F73" s="8">
        <v>2.08</v>
      </c>
      <c r="G73" s="12">
        <v>1</v>
      </c>
      <c r="H73" s="8">
        <v>0.49</v>
      </c>
      <c r="I73" s="12">
        <v>0</v>
      </c>
    </row>
    <row r="74" spans="2:9" ht="15" customHeight="1" x14ac:dyDescent="0.2">
      <c r="B74" t="s">
        <v>178</v>
      </c>
      <c r="C74" s="12">
        <v>5</v>
      </c>
      <c r="D74" s="8">
        <v>1.25</v>
      </c>
      <c r="E74" s="12">
        <v>4</v>
      </c>
      <c r="F74" s="8">
        <v>2.08</v>
      </c>
      <c r="G74" s="12">
        <v>1</v>
      </c>
      <c r="H74" s="8">
        <v>0.49</v>
      </c>
      <c r="I74" s="12">
        <v>0</v>
      </c>
    </row>
    <row r="76" spans="2:9" ht="15" customHeight="1" x14ac:dyDescent="0.2">
      <c r="B76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A7E27-D09A-48C8-9232-6FE802D982D7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334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133</v>
      </c>
      <c r="D6" s="8">
        <v>14.7</v>
      </c>
      <c r="E6" s="12">
        <v>24</v>
      </c>
      <c r="F6" s="8">
        <v>6.54</v>
      </c>
      <c r="G6" s="12">
        <v>109</v>
      </c>
      <c r="H6" s="8">
        <v>20.49</v>
      </c>
      <c r="I6" s="12">
        <v>0</v>
      </c>
    </row>
    <row r="7" spans="2:9" ht="15" customHeight="1" x14ac:dyDescent="0.2">
      <c r="B7" t="s">
        <v>77</v>
      </c>
      <c r="C7" s="12">
        <v>86</v>
      </c>
      <c r="D7" s="8">
        <v>9.5</v>
      </c>
      <c r="E7" s="12">
        <v>22</v>
      </c>
      <c r="F7" s="8">
        <v>5.99</v>
      </c>
      <c r="G7" s="12">
        <v>64</v>
      </c>
      <c r="H7" s="8">
        <v>12.03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7</v>
      </c>
      <c r="D9" s="8">
        <v>0.77</v>
      </c>
      <c r="E9" s="12">
        <v>1</v>
      </c>
      <c r="F9" s="8">
        <v>0.27</v>
      </c>
      <c r="G9" s="12">
        <v>6</v>
      </c>
      <c r="H9" s="8">
        <v>1.1299999999999999</v>
      </c>
      <c r="I9" s="12">
        <v>0</v>
      </c>
    </row>
    <row r="10" spans="2:9" ht="15" customHeight="1" x14ac:dyDescent="0.2">
      <c r="B10" t="s">
        <v>80</v>
      </c>
      <c r="C10" s="12">
        <v>29</v>
      </c>
      <c r="D10" s="8">
        <v>3.2</v>
      </c>
      <c r="E10" s="12">
        <v>5</v>
      </c>
      <c r="F10" s="8">
        <v>1.36</v>
      </c>
      <c r="G10" s="12">
        <v>24</v>
      </c>
      <c r="H10" s="8">
        <v>4.51</v>
      </c>
      <c r="I10" s="12">
        <v>0</v>
      </c>
    </row>
    <row r="11" spans="2:9" ht="15" customHeight="1" x14ac:dyDescent="0.2">
      <c r="B11" t="s">
        <v>81</v>
      </c>
      <c r="C11" s="12">
        <v>227</v>
      </c>
      <c r="D11" s="8">
        <v>25.08</v>
      </c>
      <c r="E11" s="12">
        <v>100</v>
      </c>
      <c r="F11" s="8">
        <v>27.25</v>
      </c>
      <c r="G11" s="12">
        <v>127</v>
      </c>
      <c r="H11" s="8">
        <v>23.87</v>
      </c>
      <c r="I11" s="12">
        <v>0</v>
      </c>
    </row>
    <row r="12" spans="2:9" ht="15" customHeight="1" x14ac:dyDescent="0.2">
      <c r="B12" t="s">
        <v>82</v>
      </c>
      <c r="C12" s="12">
        <v>7</v>
      </c>
      <c r="D12" s="8">
        <v>0.77</v>
      </c>
      <c r="E12" s="12">
        <v>0</v>
      </c>
      <c r="F12" s="8">
        <v>0</v>
      </c>
      <c r="G12" s="12">
        <v>7</v>
      </c>
      <c r="H12" s="8">
        <v>1.32</v>
      </c>
      <c r="I12" s="12">
        <v>0</v>
      </c>
    </row>
    <row r="13" spans="2:9" ht="15" customHeight="1" x14ac:dyDescent="0.2">
      <c r="B13" t="s">
        <v>83</v>
      </c>
      <c r="C13" s="12">
        <v>118</v>
      </c>
      <c r="D13" s="8">
        <v>13.04</v>
      </c>
      <c r="E13" s="12">
        <v>33</v>
      </c>
      <c r="F13" s="8">
        <v>8.99</v>
      </c>
      <c r="G13" s="12">
        <v>85</v>
      </c>
      <c r="H13" s="8">
        <v>15.98</v>
      </c>
      <c r="I13" s="12">
        <v>0</v>
      </c>
    </row>
    <row r="14" spans="2:9" ht="15" customHeight="1" x14ac:dyDescent="0.2">
      <c r="B14" t="s">
        <v>84</v>
      </c>
      <c r="C14" s="12">
        <v>28</v>
      </c>
      <c r="D14" s="8">
        <v>3.09</v>
      </c>
      <c r="E14" s="12">
        <v>11</v>
      </c>
      <c r="F14" s="8">
        <v>3</v>
      </c>
      <c r="G14" s="12">
        <v>17</v>
      </c>
      <c r="H14" s="8">
        <v>3.2</v>
      </c>
      <c r="I14" s="12">
        <v>0</v>
      </c>
    </row>
    <row r="15" spans="2:9" ht="15" customHeight="1" x14ac:dyDescent="0.2">
      <c r="B15" t="s">
        <v>85</v>
      </c>
      <c r="C15" s="12">
        <v>87</v>
      </c>
      <c r="D15" s="8">
        <v>9.61</v>
      </c>
      <c r="E15" s="12">
        <v>69</v>
      </c>
      <c r="F15" s="8">
        <v>18.8</v>
      </c>
      <c r="G15" s="12">
        <v>18</v>
      </c>
      <c r="H15" s="8">
        <v>3.38</v>
      </c>
      <c r="I15" s="12">
        <v>0</v>
      </c>
    </row>
    <row r="16" spans="2:9" ht="15" customHeight="1" x14ac:dyDescent="0.2">
      <c r="B16" t="s">
        <v>86</v>
      </c>
      <c r="C16" s="12">
        <v>93</v>
      </c>
      <c r="D16" s="8">
        <v>10.28</v>
      </c>
      <c r="E16" s="12">
        <v>61</v>
      </c>
      <c r="F16" s="8">
        <v>16.62</v>
      </c>
      <c r="G16" s="12">
        <v>28</v>
      </c>
      <c r="H16" s="8">
        <v>5.26</v>
      </c>
      <c r="I16" s="12">
        <v>0</v>
      </c>
    </row>
    <row r="17" spans="2:9" ht="15" customHeight="1" x14ac:dyDescent="0.2">
      <c r="B17" t="s">
        <v>87</v>
      </c>
      <c r="C17" s="12">
        <v>19</v>
      </c>
      <c r="D17" s="8">
        <v>2.1</v>
      </c>
      <c r="E17" s="12">
        <v>12</v>
      </c>
      <c r="F17" s="8">
        <v>3.27</v>
      </c>
      <c r="G17" s="12">
        <v>7</v>
      </c>
      <c r="H17" s="8">
        <v>1.32</v>
      </c>
      <c r="I17" s="12">
        <v>0</v>
      </c>
    </row>
    <row r="18" spans="2:9" ht="15" customHeight="1" x14ac:dyDescent="0.2">
      <c r="B18" t="s">
        <v>88</v>
      </c>
      <c r="C18" s="12">
        <v>33</v>
      </c>
      <c r="D18" s="8">
        <v>3.65</v>
      </c>
      <c r="E18" s="12">
        <v>15</v>
      </c>
      <c r="F18" s="8">
        <v>4.09</v>
      </c>
      <c r="G18" s="12">
        <v>17</v>
      </c>
      <c r="H18" s="8">
        <v>3.2</v>
      </c>
      <c r="I18" s="12">
        <v>0</v>
      </c>
    </row>
    <row r="19" spans="2:9" ht="15" customHeight="1" x14ac:dyDescent="0.2">
      <c r="B19" t="s">
        <v>89</v>
      </c>
      <c r="C19" s="12">
        <v>38</v>
      </c>
      <c r="D19" s="8">
        <v>4.2</v>
      </c>
      <c r="E19" s="12">
        <v>14</v>
      </c>
      <c r="F19" s="8">
        <v>3.81</v>
      </c>
      <c r="G19" s="12">
        <v>23</v>
      </c>
      <c r="H19" s="8">
        <v>4.32</v>
      </c>
      <c r="I19" s="12">
        <v>0</v>
      </c>
    </row>
    <row r="20" spans="2:9" ht="15" customHeight="1" x14ac:dyDescent="0.2">
      <c r="B20" s="9" t="s">
        <v>285</v>
      </c>
      <c r="C20" s="12">
        <f>SUM(LTBL_40343[総数／事業所数])</f>
        <v>905</v>
      </c>
      <c r="E20" s="12">
        <f>SUBTOTAL(109,LTBL_40343[個人／事業所数])</f>
        <v>367</v>
      </c>
      <c r="G20" s="12">
        <f>SUBTOTAL(109,LTBL_40343[法人／事業所数])</f>
        <v>532</v>
      </c>
      <c r="I20" s="12">
        <f>SUBTOTAL(109,LTBL_40343[法人以外の団体／事業所数])</f>
        <v>0</v>
      </c>
    </row>
    <row r="21" spans="2:9" ht="15" customHeight="1" x14ac:dyDescent="0.2">
      <c r="E21" s="11">
        <f>LTBL_40343[[#Totals],[個人／事業所数]]/LTBL_40343[[#Totals],[総数／事業所数]]</f>
        <v>0.40552486187845305</v>
      </c>
      <c r="G21" s="11">
        <f>LTBL_40343[[#Totals],[法人／事業所数]]/LTBL_40343[[#Totals],[総数／事業所数]]</f>
        <v>0.5878453038674033</v>
      </c>
      <c r="I21" s="11">
        <f>LTBL_40343[[#Totals],[法人以外の団体／事業所数]]/LTBL_40343[[#Totals],[総数／事業所数]]</f>
        <v>0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109</v>
      </c>
      <c r="C24" s="12">
        <v>99</v>
      </c>
      <c r="D24" s="8">
        <v>10.94</v>
      </c>
      <c r="E24" s="12">
        <v>31</v>
      </c>
      <c r="F24" s="8">
        <v>8.4499999999999993</v>
      </c>
      <c r="G24" s="12">
        <v>68</v>
      </c>
      <c r="H24" s="8">
        <v>12.78</v>
      </c>
      <c r="I24" s="12">
        <v>0</v>
      </c>
    </row>
    <row r="25" spans="2:9" ht="15" customHeight="1" x14ac:dyDescent="0.2">
      <c r="B25" t="s">
        <v>112</v>
      </c>
      <c r="C25" s="12">
        <v>79</v>
      </c>
      <c r="D25" s="8">
        <v>8.73</v>
      </c>
      <c r="E25" s="12">
        <v>68</v>
      </c>
      <c r="F25" s="8">
        <v>18.53</v>
      </c>
      <c r="G25" s="12">
        <v>11</v>
      </c>
      <c r="H25" s="8">
        <v>2.0699999999999998</v>
      </c>
      <c r="I25" s="12">
        <v>0</v>
      </c>
    </row>
    <row r="26" spans="2:9" ht="15" customHeight="1" x14ac:dyDescent="0.2">
      <c r="B26" t="s">
        <v>113</v>
      </c>
      <c r="C26" s="12">
        <v>68</v>
      </c>
      <c r="D26" s="8">
        <v>7.51</v>
      </c>
      <c r="E26" s="12">
        <v>55</v>
      </c>
      <c r="F26" s="8">
        <v>14.99</v>
      </c>
      <c r="G26" s="12">
        <v>13</v>
      </c>
      <c r="H26" s="8">
        <v>2.44</v>
      </c>
      <c r="I26" s="12">
        <v>0</v>
      </c>
    </row>
    <row r="27" spans="2:9" ht="15" customHeight="1" x14ac:dyDescent="0.2">
      <c r="B27" t="s">
        <v>99</v>
      </c>
      <c r="C27" s="12">
        <v>53</v>
      </c>
      <c r="D27" s="8">
        <v>5.86</v>
      </c>
      <c r="E27" s="12">
        <v>15</v>
      </c>
      <c r="F27" s="8">
        <v>4.09</v>
      </c>
      <c r="G27" s="12">
        <v>38</v>
      </c>
      <c r="H27" s="8">
        <v>7.14</v>
      </c>
      <c r="I27" s="12">
        <v>0</v>
      </c>
    </row>
    <row r="28" spans="2:9" ht="15" customHeight="1" x14ac:dyDescent="0.2">
      <c r="B28" t="s">
        <v>107</v>
      </c>
      <c r="C28" s="12">
        <v>50</v>
      </c>
      <c r="D28" s="8">
        <v>5.52</v>
      </c>
      <c r="E28" s="12">
        <v>23</v>
      </c>
      <c r="F28" s="8">
        <v>6.27</v>
      </c>
      <c r="G28" s="12">
        <v>27</v>
      </c>
      <c r="H28" s="8">
        <v>5.08</v>
      </c>
      <c r="I28" s="12">
        <v>0</v>
      </c>
    </row>
    <row r="29" spans="2:9" ht="15" customHeight="1" x14ac:dyDescent="0.2">
      <c r="B29" t="s">
        <v>105</v>
      </c>
      <c r="C29" s="12">
        <v>44</v>
      </c>
      <c r="D29" s="8">
        <v>4.8600000000000003</v>
      </c>
      <c r="E29" s="12">
        <v>30</v>
      </c>
      <c r="F29" s="8">
        <v>8.17</v>
      </c>
      <c r="G29" s="12">
        <v>14</v>
      </c>
      <c r="H29" s="8">
        <v>2.63</v>
      </c>
      <c r="I29" s="12">
        <v>0</v>
      </c>
    </row>
    <row r="30" spans="2:9" ht="15" customHeight="1" x14ac:dyDescent="0.2">
      <c r="B30" t="s">
        <v>100</v>
      </c>
      <c r="C30" s="12">
        <v>43</v>
      </c>
      <c r="D30" s="8">
        <v>4.75</v>
      </c>
      <c r="E30" s="12">
        <v>2</v>
      </c>
      <c r="F30" s="8">
        <v>0.54</v>
      </c>
      <c r="G30" s="12">
        <v>41</v>
      </c>
      <c r="H30" s="8">
        <v>7.71</v>
      </c>
      <c r="I30" s="12">
        <v>0</v>
      </c>
    </row>
    <row r="31" spans="2:9" ht="15" customHeight="1" x14ac:dyDescent="0.2">
      <c r="B31" t="s">
        <v>106</v>
      </c>
      <c r="C31" s="12">
        <v>39</v>
      </c>
      <c r="D31" s="8">
        <v>4.3099999999999996</v>
      </c>
      <c r="E31" s="12">
        <v>23</v>
      </c>
      <c r="F31" s="8">
        <v>6.27</v>
      </c>
      <c r="G31" s="12">
        <v>16</v>
      </c>
      <c r="H31" s="8">
        <v>3.01</v>
      </c>
      <c r="I31" s="12">
        <v>0</v>
      </c>
    </row>
    <row r="32" spans="2:9" ht="15" customHeight="1" x14ac:dyDescent="0.2">
      <c r="B32" t="s">
        <v>98</v>
      </c>
      <c r="C32" s="12">
        <v>37</v>
      </c>
      <c r="D32" s="8">
        <v>4.09</v>
      </c>
      <c r="E32" s="12">
        <v>7</v>
      </c>
      <c r="F32" s="8">
        <v>1.91</v>
      </c>
      <c r="G32" s="12">
        <v>30</v>
      </c>
      <c r="H32" s="8">
        <v>5.64</v>
      </c>
      <c r="I32" s="12">
        <v>0</v>
      </c>
    </row>
    <row r="33" spans="2:9" ht="15" customHeight="1" x14ac:dyDescent="0.2">
      <c r="B33" t="s">
        <v>119</v>
      </c>
      <c r="C33" s="12">
        <v>21</v>
      </c>
      <c r="D33" s="8">
        <v>2.3199999999999998</v>
      </c>
      <c r="E33" s="12">
        <v>6</v>
      </c>
      <c r="F33" s="8">
        <v>1.63</v>
      </c>
      <c r="G33" s="12">
        <v>15</v>
      </c>
      <c r="H33" s="8">
        <v>2.82</v>
      </c>
      <c r="I33" s="12">
        <v>0</v>
      </c>
    </row>
    <row r="34" spans="2:9" ht="15" customHeight="1" x14ac:dyDescent="0.2">
      <c r="B34" t="s">
        <v>115</v>
      </c>
      <c r="C34" s="12">
        <v>21</v>
      </c>
      <c r="D34" s="8">
        <v>2.3199999999999998</v>
      </c>
      <c r="E34" s="12">
        <v>15</v>
      </c>
      <c r="F34" s="8">
        <v>4.09</v>
      </c>
      <c r="G34" s="12">
        <v>6</v>
      </c>
      <c r="H34" s="8">
        <v>1.1299999999999999</v>
      </c>
      <c r="I34" s="12">
        <v>0</v>
      </c>
    </row>
    <row r="35" spans="2:9" ht="15" customHeight="1" x14ac:dyDescent="0.2">
      <c r="B35" t="s">
        <v>124</v>
      </c>
      <c r="C35" s="12">
        <v>20</v>
      </c>
      <c r="D35" s="8">
        <v>2.21</v>
      </c>
      <c r="E35" s="12">
        <v>5</v>
      </c>
      <c r="F35" s="8">
        <v>1.36</v>
      </c>
      <c r="G35" s="12">
        <v>15</v>
      </c>
      <c r="H35" s="8">
        <v>2.82</v>
      </c>
      <c r="I35" s="12">
        <v>0</v>
      </c>
    </row>
    <row r="36" spans="2:9" ht="15" customHeight="1" x14ac:dyDescent="0.2">
      <c r="B36" t="s">
        <v>114</v>
      </c>
      <c r="C36" s="12">
        <v>19</v>
      </c>
      <c r="D36" s="8">
        <v>2.1</v>
      </c>
      <c r="E36" s="12">
        <v>12</v>
      </c>
      <c r="F36" s="8">
        <v>3.27</v>
      </c>
      <c r="G36" s="12">
        <v>7</v>
      </c>
      <c r="H36" s="8">
        <v>1.32</v>
      </c>
      <c r="I36" s="12">
        <v>0</v>
      </c>
    </row>
    <row r="37" spans="2:9" ht="15" customHeight="1" x14ac:dyDescent="0.2">
      <c r="B37" t="s">
        <v>103</v>
      </c>
      <c r="C37" s="12">
        <v>18</v>
      </c>
      <c r="D37" s="8">
        <v>1.99</v>
      </c>
      <c r="E37" s="12">
        <v>5</v>
      </c>
      <c r="F37" s="8">
        <v>1.36</v>
      </c>
      <c r="G37" s="12">
        <v>13</v>
      </c>
      <c r="H37" s="8">
        <v>2.44</v>
      </c>
      <c r="I37" s="12">
        <v>0</v>
      </c>
    </row>
    <row r="38" spans="2:9" ht="15" customHeight="1" x14ac:dyDescent="0.2">
      <c r="B38" t="s">
        <v>123</v>
      </c>
      <c r="C38" s="12">
        <v>18</v>
      </c>
      <c r="D38" s="8">
        <v>1.99</v>
      </c>
      <c r="E38" s="12">
        <v>8</v>
      </c>
      <c r="F38" s="8">
        <v>2.1800000000000002</v>
      </c>
      <c r="G38" s="12">
        <v>10</v>
      </c>
      <c r="H38" s="8">
        <v>1.88</v>
      </c>
      <c r="I38" s="12">
        <v>0</v>
      </c>
    </row>
    <row r="39" spans="2:9" ht="15" customHeight="1" x14ac:dyDescent="0.2">
      <c r="B39" t="s">
        <v>110</v>
      </c>
      <c r="C39" s="12">
        <v>16</v>
      </c>
      <c r="D39" s="8">
        <v>1.77</v>
      </c>
      <c r="E39" s="12">
        <v>7</v>
      </c>
      <c r="F39" s="8">
        <v>1.91</v>
      </c>
      <c r="G39" s="12">
        <v>9</v>
      </c>
      <c r="H39" s="8">
        <v>1.69</v>
      </c>
      <c r="I39" s="12">
        <v>0</v>
      </c>
    </row>
    <row r="40" spans="2:9" ht="15" customHeight="1" x14ac:dyDescent="0.2">
      <c r="B40" t="s">
        <v>101</v>
      </c>
      <c r="C40" s="12">
        <v>14</v>
      </c>
      <c r="D40" s="8">
        <v>1.55</v>
      </c>
      <c r="E40" s="12">
        <v>3</v>
      </c>
      <c r="F40" s="8">
        <v>0.82</v>
      </c>
      <c r="G40" s="12">
        <v>11</v>
      </c>
      <c r="H40" s="8">
        <v>2.0699999999999998</v>
      </c>
      <c r="I40" s="12">
        <v>0</v>
      </c>
    </row>
    <row r="41" spans="2:9" ht="15" customHeight="1" x14ac:dyDescent="0.2">
      <c r="B41" t="s">
        <v>104</v>
      </c>
      <c r="C41" s="12">
        <v>14</v>
      </c>
      <c r="D41" s="8">
        <v>1.55</v>
      </c>
      <c r="E41" s="12">
        <v>4</v>
      </c>
      <c r="F41" s="8">
        <v>1.0900000000000001</v>
      </c>
      <c r="G41" s="12">
        <v>10</v>
      </c>
      <c r="H41" s="8">
        <v>1.88</v>
      </c>
      <c r="I41" s="12">
        <v>0</v>
      </c>
    </row>
    <row r="42" spans="2:9" ht="15" customHeight="1" x14ac:dyDescent="0.2">
      <c r="B42" t="s">
        <v>108</v>
      </c>
      <c r="C42" s="12">
        <v>14</v>
      </c>
      <c r="D42" s="8">
        <v>1.55</v>
      </c>
      <c r="E42" s="12">
        <v>1</v>
      </c>
      <c r="F42" s="8">
        <v>0.27</v>
      </c>
      <c r="G42" s="12">
        <v>13</v>
      </c>
      <c r="H42" s="8">
        <v>2.44</v>
      </c>
      <c r="I42" s="12">
        <v>0</v>
      </c>
    </row>
    <row r="43" spans="2:9" ht="15" customHeight="1" x14ac:dyDescent="0.2">
      <c r="B43" t="s">
        <v>118</v>
      </c>
      <c r="C43" s="12">
        <v>14</v>
      </c>
      <c r="D43" s="8">
        <v>1.55</v>
      </c>
      <c r="E43" s="12">
        <v>3</v>
      </c>
      <c r="F43" s="8">
        <v>0.82</v>
      </c>
      <c r="G43" s="12">
        <v>11</v>
      </c>
      <c r="H43" s="8">
        <v>2.0699999999999998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164</v>
      </c>
      <c r="C47" s="12">
        <v>64</v>
      </c>
      <c r="D47" s="8">
        <v>7.07</v>
      </c>
      <c r="E47" s="12">
        <v>25</v>
      </c>
      <c r="F47" s="8">
        <v>6.81</v>
      </c>
      <c r="G47" s="12">
        <v>39</v>
      </c>
      <c r="H47" s="8">
        <v>7.33</v>
      </c>
      <c r="I47" s="12">
        <v>0</v>
      </c>
    </row>
    <row r="48" spans="2:9" ht="15" customHeight="1" x14ac:dyDescent="0.2">
      <c r="B48" t="s">
        <v>170</v>
      </c>
      <c r="C48" s="12">
        <v>38</v>
      </c>
      <c r="D48" s="8">
        <v>4.2</v>
      </c>
      <c r="E48" s="12">
        <v>35</v>
      </c>
      <c r="F48" s="8">
        <v>9.5399999999999991</v>
      </c>
      <c r="G48" s="12">
        <v>3</v>
      </c>
      <c r="H48" s="8">
        <v>0.56000000000000005</v>
      </c>
      <c r="I48" s="12">
        <v>0</v>
      </c>
    </row>
    <row r="49" spans="2:9" ht="15" customHeight="1" x14ac:dyDescent="0.2">
      <c r="B49" t="s">
        <v>166</v>
      </c>
      <c r="C49" s="12">
        <v>26</v>
      </c>
      <c r="D49" s="8">
        <v>2.87</v>
      </c>
      <c r="E49" s="12">
        <v>18</v>
      </c>
      <c r="F49" s="8">
        <v>4.9000000000000004</v>
      </c>
      <c r="G49" s="12">
        <v>8</v>
      </c>
      <c r="H49" s="8">
        <v>1.5</v>
      </c>
      <c r="I49" s="12">
        <v>0</v>
      </c>
    </row>
    <row r="50" spans="2:9" ht="15" customHeight="1" x14ac:dyDescent="0.2">
      <c r="B50" t="s">
        <v>159</v>
      </c>
      <c r="C50" s="12">
        <v>23</v>
      </c>
      <c r="D50" s="8">
        <v>2.54</v>
      </c>
      <c r="E50" s="12">
        <v>11</v>
      </c>
      <c r="F50" s="8">
        <v>3</v>
      </c>
      <c r="G50" s="12">
        <v>12</v>
      </c>
      <c r="H50" s="8">
        <v>2.2599999999999998</v>
      </c>
      <c r="I50" s="12">
        <v>0</v>
      </c>
    </row>
    <row r="51" spans="2:9" ht="15" customHeight="1" x14ac:dyDescent="0.2">
      <c r="B51" t="s">
        <v>167</v>
      </c>
      <c r="C51" s="12">
        <v>23</v>
      </c>
      <c r="D51" s="8">
        <v>2.54</v>
      </c>
      <c r="E51" s="12">
        <v>20</v>
      </c>
      <c r="F51" s="8">
        <v>5.45</v>
      </c>
      <c r="G51" s="12">
        <v>3</v>
      </c>
      <c r="H51" s="8">
        <v>0.56000000000000005</v>
      </c>
      <c r="I51" s="12">
        <v>0</v>
      </c>
    </row>
    <row r="52" spans="2:9" ht="15" customHeight="1" x14ac:dyDescent="0.2">
      <c r="B52" t="s">
        <v>163</v>
      </c>
      <c r="C52" s="12">
        <v>22</v>
      </c>
      <c r="D52" s="8">
        <v>2.4300000000000002</v>
      </c>
      <c r="E52" s="12">
        <v>5</v>
      </c>
      <c r="F52" s="8">
        <v>1.36</v>
      </c>
      <c r="G52" s="12">
        <v>17</v>
      </c>
      <c r="H52" s="8">
        <v>3.2</v>
      </c>
      <c r="I52" s="12">
        <v>0</v>
      </c>
    </row>
    <row r="53" spans="2:9" ht="15" customHeight="1" x14ac:dyDescent="0.2">
      <c r="B53" t="s">
        <v>168</v>
      </c>
      <c r="C53" s="12">
        <v>20</v>
      </c>
      <c r="D53" s="8">
        <v>2.21</v>
      </c>
      <c r="E53" s="12">
        <v>20</v>
      </c>
      <c r="F53" s="8">
        <v>5.45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160</v>
      </c>
      <c r="C54" s="12">
        <v>19</v>
      </c>
      <c r="D54" s="8">
        <v>2.1</v>
      </c>
      <c r="E54" s="12">
        <v>5</v>
      </c>
      <c r="F54" s="8">
        <v>1.36</v>
      </c>
      <c r="G54" s="12">
        <v>14</v>
      </c>
      <c r="H54" s="8">
        <v>2.63</v>
      </c>
      <c r="I54" s="12">
        <v>0</v>
      </c>
    </row>
    <row r="55" spans="2:9" ht="15" customHeight="1" x14ac:dyDescent="0.2">
      <c r="B55" t="s">
        <v>158</v>
      </c>
      <c r="C55" s="12">
        <v>18</v>
      </c>
      <c r="D55" s="8">
        <v>1.99</v>
      </c>
      <c r="E55" s="12">
        <v>10</v>
      </c>
      <c r="F55" s="8">
        <v>2.72</v>
      </c>
      <c r="G55" s="12">
        <v>8</v>
      </c>
      <c r="H55" s="8">
        <v>1.5</v>
      </c>
      <c r="I55" s="12">
        <v>0</v>
      </c>
    </row>
    <row r="56" spans="2:9" ht="15" customHeight="1" x14ac:dyDescent="0.2">
      <c r="B56" t="s">
        <v>173</v>
      </c>
      <c r="C56" s="12">
        <v>18</v>
      </c>
      <c r="D56" s="8">
        <v>1.99</v>
      </c>
      <c r="E56" s="12">
        <v>8</v>
      </c>
      <c r="F56" s="8">
        <v>2.1800000000000002</v>
      </c>
      <c r="G56" s="12">
        <v>10</v>
      </c>
      <c r="H56" s="8">
        <v>1.88</v>
      </c>
      <c r="I56" s="12">
        <v>0</v>
      </c>
    </row>
    <row r="57" spans="2:9" ht="15" customHeight="1" x14ac:dyDescent="0.2">
      <c r="B57" t="s">
        <v>169</v>
      </c>
      <c r="C57" s="12">
        <v>17</v>
      </c>
      <c r="D57" s="8">
        <v>1.88</v>
      </c>
      <c r="E57" s="12">
        <v>16</v>
      </c>
      <c r="F57" s="8">
        <v>4.3600000000000003</v>
      </c>
      <c r="G57" s="12">
        <v>1</v>
      </c>
      <c r="H57" s="8">
        <v>0.19</v>
      </c>
      <c r="I57" s="12">
        <v>0</v>
      </c>
    </row>
    <row r="58" spans="2:9" ht="15" customHeight="1" x14ac:dyDescent="0.2">
      <c r="B58" t="s">
        <v>172</v>
      </c>
      <c r="C58" s="12">
        <v>17</v>
      </c>
      <c r="D58" s="8">
        <v>1.88</v>
      </c>
      <c r="E58" s="12">
        <v>14</v>
      </c>
      <c r="F58" s="8">
        <v>3.81</v>
      </c>
      <c r="G58" s="12">
        <v>3</v>
      </c>
      <c r="H58" s="8">
        <v>0.56000000000000005</v>
      </c>
      <c r="I58" s="12">
        <v>0</v>
      </c>
    </row>
    <row r="59" spans="2:9" ht="15" customHeight="1" x14ac:dyDescent="0.2">
      <c r="B59" t="s">
        <v>203</v>
      </c>
      <c r="C59" s="12">
        <v>14</v>
      </c>
      <c r="D59" s="8">
        <v>1.55</v>
      </c>
      <c r="E59" s="12">
        <v>3</v>
      </c>
      <c r="F59" s="8">
        <v>0.82</v>
      </c>
      <c r="G59" s="12">
        <v>11</v>
      </c>
      <c r="H59" s="8">
        <v>2.0699999999999998</v>
      </c>
      <c r="I59" s="12">
        <v>0</v>
      </c>
    </row>
    <row r="60" spans="2:9" ht="15" customHeight="1" x14ac:dyDescent="0.2">
      <c r="B60" t="s">
        <v>156</v>
      </c>
      <c r="C60" s="12">
        <v>14</v>
      </c>
      <c r="D60" s="8">
        <v>1.55</v>
      </c>
      <c r="E60" s="12">
        <v>1</v>
      </c>
      <c r="F60" s="8">
        <v>0.27</v>
      </c>
      <c r="G60" s="12">
        <v>13</v>
      </c>
      <c r="H60" s="8">
        <v>2.44</v>
      </c>
      <c r="I60" s="12">
        <v>0</v>
      </c>
    </row>
    <row r="61" spans="2:9" ht="15" customHeight="1" x14ac:dyDescent="0.2">
      <c r="B61" t="s">
        <v>180</v>
      </c>
      <c r="C61" s="12">
        <v>14</v>
      </c>
      <c r="D61" s="8">
        <v>1.55</v>
      </c>
      <c r="E61" s="12">
        <v>5</v>
      </c>
      <c r="F61" s="8">
        <v>1.36</v>
      </c>
      <c r="G61" s="12">
        <v>9</v>
      </c>
      <c r="H61" s="8">
        <v>1.69</v>
      </c>
      <c r="I61" s="12">
        <v>0</v>
      </c>
    </row>
    <row r="62" spans="2:9" ht="15" customHeight="1" x14ac:dyDescent="0.2">
      <c r="B62" t="s">
        <v>208</v>
      </c>
      <c r="C62" s="12">
        <v>14</v>
      </c>
      <c r="D62" s="8">
        <v>1.55</v>
      </c>
      <c r="E62" s="12">
        <v>11</v>
      </c>
      <c r="F62" s="8">
        <v>3</v>
      </c>
      <c r="G62" s="12">
        <v>3</v>
      </c>
      <c r="H62" s="8">
        <v>0.56000000000000005</v>
      </c>
      <c r="I62" s="12">
        <v>0</v>
      </c>
    </row>
    <row r="63" spans="2:9" ht="15" customHeight="1" x14ac:dyDescent="0.2">
      <c r="B63" t="s">
        <v>174</v>
      </c>
      <c r="C63" s="12">
        <v>13</v>
      </c>
      <c r="D63" s="8">
        <v>1.44</v>
      </c>
      <c r="E63" s="12">
        <v>0</v>
      </c>
      <c r="F63" s="8">
        <v>0</v>
      </c>
      <c r="G63" s="12">
        <v>13</v>
      </c>
      <c r="H63" s="8">
        <v>2.44</v>
      </c>
      <c r="I63" s="12">
        <v>0</v>
      </c>
    </row>
    <row r="64" spans="2:9" ht="15" customHeight="1" x14ac:dyDescent="0.2">
      <c r="B64" t="s">
        <v>161</v>
      </c>
      <c r="C64" s="12">
        <v>12</v>
      </c>
      <c r="D64" s="8">
        <v>1.33</v>
      </c>
      <c r="E64" s="12">
        <v>9</v>
      </c>
      <c r="F64" s="8">
        <v>2.4500000000000002</v>
      </c>
      <c r="G64" s="12">
        <v>3</v>
      </c>
      <c r="H64" s="8">
        <v>0.56000000000000005</v>
      </c>
      <c r="I64" s="12">
        <v>0</v>
      </c>
    </row>
    <row r="65" spans="2:9" ht="15" customHeight="1" x14ac:dyDescent="0.2">
      <c r="B65" t="s">
        <v>162</v>
      </c>
      <c r="C65" s="12">
        <v>12</v>
      </c>
      <c r="D65" s="8">
        <v>1.33</v>
      </c>
      <c r="E65" s="12">
        <v>1</v>
      </c>
      <c r="F65" s="8">
        <v>0.27</v>
      </c>
      <c r="G65" s="12">
        <v>11</v>
      </c>
      <c r="H65" s="8">
        <v>2.0699999999999998</v>
      </c>
      <c r="I65" s="12">
        <v>0</v>
      </c>
    </row>
    <row r="66" spans="2:9" ht="15" customHeight="1" x14ac:dyDescent="0.2">
      <c r="B66" t="s">
        <v>154</v>
      </c>
      <c r="C66" s="12">
        <v>11</v>
      </c>
      <c r="D66" s="8">
        <v>1.22</v>
      </c>
      <c r="E66" s="12">
        <v>0</v>
      </c>
      <c r="F66" s="8">
        <v>0</v>
      </c>
      <c r="G66" s="12">
        <v>11</v>
      </c>
      <c r="H66" s="8">
        <v>2.0699999999999998</v>
      </c>
      <c r="I66" s="12">
        <v>0</v>
      </c>
    </row>
    <row r="67" spans="2:9" ht="15" customHeight="1" x14ac:dyDescent="0.2">
      <c r="B67" t="s">
        <v>182</v>
      </c>
      <c r="C67" s="12">
        <v>11</v>
      </c>
      <c r="D67" s="8">
        <v>1.22</v>
      </c>
      <c r="E67" s="12">
        <v>2</v>
      </c>
      <c r="F67" s="8">
        <v>0.54</v>
      </c>
      <c r="G67" s="12">
        <v>9</v>
      </c>
      <c r="H67" s="8">
        <v>1.69</v>
      </c>
      <c r="I67" s="12">
        <v>0</v>
      </c>
    </row>
    <row r="68" spans="2:9" ht="15" customHeight="1" x14ac:dyDescent="0.2">
      <c r="B68" t="s">
        <v>171</v>
      </c>
      <c r="C68" s="12">
        <v>11</v>
      </c>
      <c r="D68" s="8">
        <v>1.22</v>
      </c>
      <c r="E68" s="12">
        <v>10</v>
      </c>
      <c r="F68" s="8">
        <v>2.72</v>
      </c>
      <c r="G68" s="12">
        <v>1</v>
      </c>
      <c r="H68" s="8">
        <v>0.19</v>
      </c>
      <c r="I68" s="12">
        <v>0</v>
      </c>
    </row>
    <row r="70" spans="2:9" ht="15" customHeight="1" x14ac:dyDescent="0.2">
      <c r="B70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91C92-4D8A-4DE4-A42F-D817185B09F5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335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129</v>
      </c>
      <c r="D6" s="8">
        <v>22.2</v>
      </c>
      <c r="E6" s="12">
        <v>45</v>
      </c>
      <c r="F6" s="8">
        <v>17.309999999999999</v>
      </c>
      <c r="G6" s="12">
        <v>84</v>
      </c>
      <c r="H6" s="8">
        <v>26.42</v>
      </c>
      <c r="I6" s="12">
        <v>0</v>
      </c>
    </row>
    <row r="7" spans="2:9" ht="15" customHeight="1" x14ac:dyDescent="0.2">
      <c r="B7" t="s">
        <v>77</v>
      </c>
      <c r="C7" s="12">
        <v>130</v>
      </c>
      <c r="D7" s="8">
        <v>22.38</v>
      </c>
      <c r="E7" s="12">
        <v>44</v>
      </c>
      <c r="F7" s="8">
        <v>16.920000000000002</v>
      </c>
      <c r="G7" s="12">
        <v>86</v>
      </c>
      <c r="H7" s="8">
        <v>27.04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3</v>
      </c>
      <c r="D9" s="8">
        <v>0.52</v>
      </c>
      <c r="E9" s="12">
        <v>0</v>
      </c>
      <c r="F9" s="8">
        <v>0</v>
      </c>
      <c r="G9" s="12">
        <v>3</v>
      </c>
      <c r="H9" s="8">
        <v>0.94</v>
      </c>
      <c r="I9" s="12">
        <v>0</v>
      </c>
    </row>
    <row r="10" spans="2:9" ht="15" customHeight="1" x14ac:dyDescent="0.2">
      <c r="B10" t="s">
        <v>80</v>
      </c>
      <c r="C10" s="12">
        <v>25</v>
      </c>
      <c r="D10" s="8">
        <v>4.3</v>
      </c>
      <c r="E10" s="12">
        <v>11</v>
      </c>
      <c r="F10" s="8">
        <v>4.2300000000000004</v>
      </c>
      <c r="G10" s="12">
        <v>14</v>
      </c>
      <c r="H10" s="8">
        <v>4.4000000000000004</v>
      </c>
      <c r="I10" s="12">
        <v>0</v>
      </c>
    </row>
    <row r="11" spans="2:9" ht="15" customHeight="1" x14ac:dyDescent="0.2">
      <c r="B11" t="s">
        <v>81</v>
      </c>
      <c r="C11" s="12">
        <v>105</v>
      </c>
      <c r="D11" s="8">
        <v>18.07</v>
      </c>
      <c r="E11" s="12">
        <v>40</v>
      </c>
      <c r="F11" s="8">
        <v>15.38</v>
      </c>
      <c r="G11" s="12">
        <v>65</v>
      </c>
      <c r="H11" s="8">
        <v>20.440000000000001</v>
      </c>
      <c r="I11" s="12">
        <v>0</v>
      </c>
    </row>
    <row r="12" spans="2:9" ht="15" customHeight="1" x14ac:dyDescent="0.2">
      <c r="B12" t="s">
        <v>82</v>
      </c>
      <c r="C12" s="12">
        <v>1</v>
      </c>
      <c r="D12" s="8">
        <v>0.17</v>
      </c>
      <c r="E12" s="12">
        <v>0</v>
      </c>
      <c r="F12" s="8">
        <v>0</v>
      </c>
      <c r="G12" s="12">
        <v>1</v>
      </c>
      <c r="H12" s="8">
        <v>0.31</v>
      </c>
      <c r="I12" s="12">
        <v>0</v>
      </c>
    </row>
    <row r="13" spans="2:9" ht="15" customHeight="1" x14ac:dyDescent="0.2">
      <c r="B13" t="s">
        <v>83</v>
      </c>
      <c r="C13" s="12">
        <v>32</v>
      </c>
      <c r="D13" s="8">
        <v>5.51</v>
      </c>
      <c r="E13" s="12">
        <v>10</v>
      </c>
      <c r="F13" s="8">
        <v>3.85</v>
      </c>
      <c r="G13" s="12">
        <v>22</v>
      </c>
      <c r="H13" s="8">
        <v>6.92</v>
      </c>
      <c r="I13" s="12">
        <v>0</v>
      </c>
    </row>
    <row r="14" spans="2:9" ht="15" customHeight="1" x14ac:dyDescent="0.2">
      <c r="B14" t="s">
        <v>84</v>
      </c>
      <c r="C14" s="12">
        <v>14</v>
      </c>
      <c r="D14" s="8">
        <v>2.41</v>
      </c>
      <c r="E14" s="12">
        <v>8</v>
      </c>
      <c r="F14" s="8">
        <v>3.08</v>
      </c>
      <c r="G14" s="12">
        <v>6</v>
      </c>
      <c r="H14" s="8">
        <v>1.89</v>
      </c>
      <c r="I14" s="12">
        <v>0</v>
      </c>
    </row>
    <row r="15" spans="2:9" ht="15" customHeight="1" x14ac:dyDescent="0.2">
      <c r="B15" t="s">
        <v>85</v>
      </c>
      <c r="C15" s="12">
        <v>34</v>
      </c>
      <c r="D15" s="8">
        <v>5.85</v>
      </c>
      <c r="E15" s="12">
        <v>27</v>
      </c>
      <c r="F15" s="8">
        <v>10.38</v>
      </c>
      <c r="G15" s="12">
        <v>7</v>
      </c>
      <c r="H15" s="8">
        <v>2.2000000000000002</v>
      </c>
      <c r="I15" s="12">
        <v>0</v>
      </c>
    </row>
    <row r="16" spans="2:9" ht="15" customHeight="1" x14ac:dyDescent="0.2">
      <c r="B16" t="s">
        <v>86</v>
      </c>
      <c r="C16" s="12">
        <v>36</v>
      </c>
      <c r="D16" s="8">
        <v>6.2</v>
      </c>
      <c r="E16" s="12">
        <v>30</v>
      </c>
      <c r="F16" s="8">
        <v>11.54</v>
      </c>
      <c r="G16" s="12">
        <v>6</v>
      </c>
      <c r="H16" s="8">
        <v>1.89</v>
      </c>
      <c r="I16" s="12">
        <v>0</v>
      </c>
    </row>
    <row r="17" spans="2:9" ht="15" customHeight="1" x14ac:dyDescent="0.2">
      <c r="B17" t="s">
        <v>87</v>
      </c>
      <c r="C17" s="12">
        <v>16</v>
      </c>
      <c r="D17" s="8">
        <v>2.75</v>
      </c>
      <c r="E17" s="12">
        <v>12</v>
      </c>
      <c r="F17" s="8">
        <v>4.62</v>
      </c>
      <c r="G17" s="12">
        <v>1</v>
      </c>
      <c r="H17" s="8">
        <v>0.31</v>
      </c>
      <c r="I17" s="12">
        <v>0</v>
      </c>
    </row>
    <row r="18" spans="2:9" ht="15" customHeight="1" x14ac:dyDescent="0.2">
      <c r="B18" t="s">
        <v>88</v>
      </c>
      <c r="C18" s="12">
        <v>21</v>
      </c>
      <c r="D18" s="8">
        <v>3.61</v>
      </c>
      <c r="E18" s="12">
        <v>16</v>
      </c>
      <c r="F18" s="8">
        <v>6.15</v>
      </c>
      <c r="G18" s="12">
        <v>5</v>
      </c>
      <c r="H18" s="8">
        <v>1.57</v>
      </c>
      <c r="I18" s="12">
        <v>0</v>
      </c>
    </row>
    <row r="19" spans="2:9" ht="15" customHeight="1" x14ac:dyDescent="0.2">
      <c r="B19" t="s">
        <v>89</v>
      </c>
      <c r="C19" s="12">
        <v>35</v>
      </c>
      <c r="D19" s="8">
        <v>6.02</v>
      </c>
      <c r="E19" s="12">
        <v>17</v>
      </c>
      <c r="F19" s="8">
        <v>6.54</v>
      </c>
      <c r="G19" s="12">
        <v>18</v>
      </c>
      <c r="H19" s="8">
        <v>5.66</v>
      </c>
      <c r="I19" s="12">
        <v>0</v>
      </c>
    </row>
    <row r="20" spans="2:9" ht="15" customHeight="1" x14ac:dyDescent="0.2">
      <c r="B20" s="9" t="s">
        <v>285</v>
      </c>
      <c r="C20" s="12">
        <f>SUM(LTBL_40344[総数／事業所数])</f>
        <v>581</v>
      </c>
      <c r="E20" s="12">
        <f>SUBTOTAL(109,LTBL_40344[個人／事業所数])</f>
        <v>260</v>
      </c>
      <c r="G20" s="12">
        <f>SUBTOTAL(109,LTBL_40344[法人／事業所数])</f>
        <v>318</v>
      </c>
      <c r="I20" s="12">
        <f>SUBTOTAL(109,LTBL_40344[法人以外の団体／事業所数])</f>
        <v>0</v>
      </c>
    </row>
    <row r="21" spans="2:9" ht="15" customHeight="1" x14ac:dyDescent="0.2">
      <c r="E21" s="11">
        <f>LTBL_40344[[#Totals],[個人／事業所数]]/LTBL_40344[[#Totals],[総数／事業所数]]</f>
        <v>0.44750430292598969</v>
      </c>
      <c r="G21" s="11">
        <f>LTBL_40344[[#Totals],[法人／事業所数]]/LTBL_40344[[#Totals],[総数／事業所数]]</f>
        <v>0.54733218588640276</v>
      </c>
      <c r="I21" s="11">
        <f>LTBL_40344[[#Totals],[法人以外の団体／事業所数]]/LTBL_40344[[#Totals],[総数／事業所数]]</f>
        <v>0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99</v>
      </c>
      <c r="C24" s="12">
        <v>47</v>
      </c>
      <c r="D24" s="8">
        <v>8.09</v>
      </c>
      <c r="E24" s="12">
        <v>20</v>
      </c>
      <c r="F24" s="8">
        <v>7.69</v>
      </c>
      <c r="G24" s="12">
        <v>27</v>
      </c>
      <c r="H24" s="8">
        <v>8.49</v>
      </c>
      <c r="I24" s="12">
        <v>0</v>
      </c>
    </row>
    <row r="25" spans="2:9" ht="15" customHeight="1" x14ac:dyDescent="0.2">
      <c r="B25" t="s">
        <v>100</v>
      </c>
      <c r="C25" s="12">
        <v>46</v>
      </c>
      <c r="D25" s="8">
        <v>7.92</v>
      </c>
      <c r="E25" s="12">
        <v>13</v>
      </c>
      <c r="F25" s="8">
        <v>5</v>
      </c>
      <c r="G25" s="12">
        <v>33</v>
      </c>
      <c r="H25" s="8">
        <v>10.38</v>
      </c>
      <c r="I25" s="12">
        <v>0</v>
      </c>
    </row>
    <row r="26" spans="2:9" ht="15" customHeight="1" x14ac:dyDescent="0.2">
      <c r="B26" t="s">
        <v>119</v>
      </c>
      <c r="C26" s="12">
        <v>39</v>
      </c>
      <c r="D26" s="8">
        <v>6.71</v>
      </c>
      <c r="E26" s="12">
        <v>12</v>
      </c>
      <c r="F26" s="8">
        <v>4.62</v>
      </c>
      <c r="G26" s="12">
        <v>27</v>
      </c>
      <c r="H26" s="8">
        <v>8.49</v>
      </c>
      <c r="I26" s="12">
        <v>0</v>
      </c>
    </row>
    <row r="27" spans="2:9" ht="15" customHeight="1" x14ac:dyDescent="0.2">
      <c r="B27" t="s">
        <v>98</v>
      </c>
      <c r="C27" s="12">
        <v>36</v>
      </c>
      <c r="D27" s="8">
        <v>6.2</v>
      </c>
      <c r="E27" s="12">
        <v>12</v>
      </c>
      <c r="F27" s="8">
        <v>4.62</v>
      </c>
      <c r="G27" s="12">
        <v>24</v>
      </c>
      <c r="H27" s="8">
        <v>7.55</v>
      </c>
      <c r="I27" s="12">
        <v>0</v>
      </c>
    </row>
    <row r="28" spans="2:9" ht="15" customHeight="1" x14ac:dyDescent="0.2">
      <c r="B28" t="s">
        <v>112</v>
      </c>
      <c r="C28" s="12">
        <v>31</v>
      </c>
      <c r="D28" s="8">
        <v>5.34</v>
      </c>
      <c r="E28" s="12">
        <v>27</v>
      </c>
      <c r="F28" s="8">
        <v>10.38</v>
      </c>
      <c r="G28" s="12">
        <v>4</v>
      </c>
      <c r="H28" s="8">
        <v>1.26</v>
      </c>
      <c r="I28" s="12">
        <v>0</v>
      </c>
    </row>
    <row r="29" spans="2:9" ht="15" customHeight="1" x14ac:dyDescent="0.2">
      <c r="B29" t="s">
        <v>113</v>
      </c>
      <c r="C29" s="12">
        <v>29</v>
      </c>
      <c r="D29" s="8">
        <v>4.99</v>
      </c>
      <c r="E29" s="12">
        <v>26</v>
      </c>
      <c r="F29" s="8">
        <v>10</v>
      </c>
      <c r="G29" s="12">
        <v>3</v>
      </c>
      <c r="H29" s="8">
        <v>0.94</v>
      </c>
      <c r="I29" s="12">
        <v>0</v>
      </c>
    </row>
    <row r="30" spans="2:9" ht="15" customHeight="1" x14ac:dyDescent="0.2">
      <c r="B30" t="s">
        <v>131</v>
      </c>
      <c r="C30" s="12">
        <v>20</v>
      </c>
      <c r="D30" s="8">
        <v>3.44</v>
      </c>
      <c r="E30" s="12">
        <v>9</v>
      </c>
      <c r="F30" s="8">
        <v>3.46</v>
      </c>
      <c r="G30" s="12">
        <v>11</v>
      </c>
      <c r="H30" s="8">
        <v>3.46</v>
      </c>
      <c r="I30" s="12">
        <v>0</v>
      </c>
    </row>
    <row r="31" spans="2:9" ht="15" customHeight="1" x14ac:dyDescent="0.2">
      <c r="B31" t="s">
        <v>106</v>
      </c>
      <c r="C31" s="12">
        <v>20</v>
      </c>
      <c r="D31" s="8">
        <v>3.44</v>
      </c>
      <c r="E31" s="12">
        <v>14</v>
      </c>
      <c r="F31" s="8">
        <v>5.38</v>
      </c>
      <c r="G31" s="12">
        <v>6</v>
      </c>
      <c r="H31" s="8">
        <v>1.89</v>
      </c>
      <c r="I31" s="12">
        <v>0</v>
      </c>
    </row>
    <row r="32" spans="2:9" ht="15" customHeight="1" x14ac:dyDescent="0.2">
      <c r="B32" t="s">
        <v>107</v>
      </c>
      <c r="C32" s="12">
        <v>20</v>
      </c>
      <c r="D32" s="8">
        <v>3.44</v>
      </c>
      <c r="E32" s="12">
        <v>11</v>
      </c>
      <c r="F32" s="8">
        <v>4.2300000000000004</v>
      </c>
      <c r="G32" s="12">
        <v>9</v>
      </c>
      <c r="H32" s="8">
        <v>2.83</v>
      </c>
      <c r="I32" s="12">
        <v>0</v>
      </c>
    </row>
    <row r="33" spans="2:9" ht="15" customHeight="1" x14ac:dyDescent="0.2">
      <c r="B33" t="s">
        <v>109</v>
      </c>
      <c r="C33" s="12">
        <v>20</v>
      </c>
      <c r="D33" s="8">
        <v>3.44</v>
      </c>
      <c r="E33" s="12">
        <v>7</v>
      </c>
      <c r="F33" s="8">
        <v>2.69</v>
      </c>
      <c r="G33" s="12">
        <v>13</v>
      </c>
      <c r="H33" s="8">
        <v>4.09</v>
      </c>
      <c r="I33" s="12">
        <v>0</v>
      </c>
    </row>
    <row r="34" spans="2:9" ht="15" customHeight="1" x14ac:dyDescent="0.2">
      <c r="B34" t="s">
        <v>123</v>
      </c>
      <c r="C34" s="12">
        <v>17</v>
      </c>
      <c r="D34" s="8">
        <v>2.93</v>
      </c>
      <c r="E34" s="12">
        <v>11</v>
      </c>
      <c r="F34" s="8">
        <v>4.2300000000000004</v>
      </c>
      <c r="G34" s="12">
        <v>6</v>
      </c>
      <c r="H34" s="8">
        <v>1.89</v>
      </c>
      <c r="I34" s="12">
        <v>0</v>
      </c>
    </row>
    <row r="35" spans="2:9" ht="15" customHeight="1" x14ac:dyDescent="0.2">
      <c r="B35" t="s">
        <v>114</v>
      </c>
      <c r="C35" s="12">
        <v>16</v>
      </c>
      <c r="D35" s="8">
        <v>2.75</v>
      </c>
      <c r="E35" s="12">
        <v>12</v>
      </c>
      <c r="F35" s="8">
        <v>4.62</v>
      </c>
      <c r="G35" s="12">
        <v>1</v>
      </c>
      <c r="H35" s="8">
        <v>0.31</v>
      </c>
      <c r="I35" s="12">
        <v>0</v>
      </c>
    </row>
    <row r="36" spans="2:9" ht="15" customHeight="1" x14ac:dyDescent="0.2">
      <c r="B36" t="s">
        <v>115</v>
      </c>
      <c r="C36" s="12">
        <v>15</v>
      </c>
      <c r="D36" s="8">
        <v>2.58</v>
      </c>
      <c r="E36" s="12">
        <v>15</v>
      </c>
      <c r="F36" s="8">
        <v>5.77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102</v>
      </c>
      <c r="C37" s="12">
        <v>14</v>
      </c>
      <c r="D37" s="8">
        <v>2.41</v>
      </c>
      <c r="E37" s="12">
        <v>2</v>
      </c>
      <c r="F37" s="8">
        <v>0.77</v>
      </c>
      <c r="G37" s="12">
        <v>12</v>
      </c>
      <c r="H37" s="8">
        <v>3.77</v>
      </c>
      <c r="I37" s="12">
        <v>0</v>
      </c>
    </row>
    <row r="38" spans="2:9" ht="15" customHeight="1" x14ac:dyDescent="0.2">
      <c r="B38" t="s">
        <v>105</v>
      </c>
      <c r="C38" s="12">
        <v>14</v>
      </c>
      <c r="D38" s="8">
        <v>2.41</v>
      </c>
      <c r="E38" s="12">
        <v>9</v>
      </c>
      <c r="F38" s="8">
        <v>3.46</v>
      </c>
      <c r="G38" s="12">
        <v>5</v>
      </c>
      <c r="H38" s="8">
        <v>1.57</v>
      </c>
      <c r="I38" s="12">
        <v>0</v>
      </c>
    </row>
    <row r="39" spans="2:9" ht="15" customHeight="1" x14ac:dyDescent="0.2">
      <c r="B39" t="s">
        <v>126</v>
      </c>
      <c r="C39" s="12">
        <v>14</v>
      </c>
      <c r="D39" s="8">
        <v>2.41</v>
      </c>
      <c r="E39" s="12">
        <v>2</v>
      </c>
      <c r="F39" s="8">
        <v>0.77</v>
      </c>
      <c r="G39" s="12">
        <v>12</v>
      </c>
      <c r="H39" s="8">
        <v>3.77</v>
      </c>
      <c r="I39" s="12">
        <v>0</v>
      </c>
    </row>
    <row r="40" spans="2:9" ht="15" customHeight="1" x14ac:dyDescent="0.2">
      <c r="B40" t="s">
        <v>132</v>
      </c>
      <c r="C40" s="12">
        <v>13</v>
      </c>
      <c r="D40" s="8">
        <v>2.2400000000000002</v>
      </c>
      <c r="E40" s="12">
        <v>6</v>
      </c>
      <c r="F40" s="8">
        <v>2.31</v>
      </c>
      <c r="G40" s="12">
        <v>7</v>
      </c>
      <c r="H40" s="8">
        <v>2.2000000000000002</v>
      </c>
      <c r="I40" s="12">
        <v>0</v>
      </c>
    </row>
    <row r="41" spans="2:9" ht="15" customHeight="1" x14ac:dyDescent="0.2">
      <c r="B41" t="s">
        <v>137</v>
      </c>
      <c r="C41" s="12">
        <v>13</v>
      </c>
      <c r="D41" s="8">
        <v>2.2400000000000002</v>
      </c>
      <c r="E41" s="12">
        <v>1</v>
      </c>
      <c r="F41" s="8">
        <v>0.38</v>
      </c>
      <c r="G41" s="12">
        <v>12</v>
      </c>
      <c r="H41" s="8">
        <v>3.77</v>
      </c>
      <c r="I41" s="12">
        <v>0</v>
      </c>
    </row>
    <row r="42" spans="2:9" ht="15" customHeight="1" x14ac:dyDescent="0.2">
      <c r="B42" t="s">
        <v>128</v>
      </c>
      <c r="C42" s="12">
        <v>10</v>
      </c>
      <c r="D42" s="8">
        <v>1.72</v>
      </c>
      <c r="E42" s="12">
        <v>5</v>
      </c>
      <c r="F42" s="8">
        <v>1.92</v>
      </c>
      <c r="G42" s="12">
        <v>5</v>
      </c>
      <c r="H42" s="8">
        <v>1.57</v>
      </c>
      <c r="I42" s="12">
        <v>0</v>
      </c>
    </row>
    <row r="43" spans="2:9" ht="15" customHeight="1" x14ac:dyDescent="0.2">
      <c r="B43" t="s">
        <v>129</v>
      </c>
      <c r="C43" s="12">
        <v>10</v>
      </c>
      <c r="D43" s="8">
        <v>1.72</v>
      </c>
      <c r="E43" s="12">
        <v>3</v>
      </c>
      <c r="F43" s="8">
        <v>1.1499999999999999</v>
      </c>
      <c r="G43" s="12">
        <v>7</v>
      </c>
      <c r="H43" s="8">
        <v>2.2000000000000002</v>
      </c>
      <c r="I43" s="12">
        <v>0</v>
      </c>
    </row>
    <row r="44" spans="2:9" ht="15" customHeight="1" x14ac:dyDescent="0.2">
      <c r="B44" t="s">
        <v>138</v>
      </c>
      <c r="C44" s="12">
        <v>10</v>
      </c>
      <c r="D44" s="8">
        <v>1.72</v>
      </c>
      <c r="E44" s="12">
        <v>10</v>
      </c>
      <c r="F44" s="8">
        <v>3.85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101</v>
      </c>
      <c r="C45" s="12">
        <v>10</v>
      </c>
      <c r="D45" s="8">
        <v>1.72</v>
      </c>
      <c r="E45" s="12">
        <v>0</v>
      </c>
      <c r="F45" s="8">
        <v>0</v>
      </c>
      <c r="G45" s="12">
        <v>10</v>
      </c>
      <c r="H45" s="8">
        <v>3.14</v>
      </c>
      <c r="I45" s="12">
        <v>0</v>
      </c>
    </row>
    <row r="48" spans="2:9" ht="33" customHeight="1" x14ac:dyDescent="0.2">
      <c r="B48" t="s">
        <v>287</v>
      </c>
      <c r="C48" s="10" t="s">
        <v>91</v>
      </c>
      <c r="D48" s="10" t="s">
        <v>92</v>
      </c>
      <c r="E48" s="10" t="s">
        <v>93</v>
      </c>
      <c r="F48" s="10" t="s">
        <v>94</v>
      </c>
      <c r="G48" s="10" t="s">
        <v>95</v>
      </c>
      <c r="H48" s="10" t="s">
        <v>96</v>
      </c>
      <c r="I48" s="10" t="s">
        <v>97</v>
      </c>
    </row>
    <row r="49" spans="2:9" ht="15" customHeight="1" x14ac:dyDescent="0.2">
      <c r="B49" t="s">
        <v>180</v>
      </c>
      <c r="C49" s="12">
        <v>27</v>
      </c>
      <c r="D49" s="8">
        <v>4.6500000000000004</v>
      </c>
      <c r="E49" s="12">
        <v>5</v>
      </c>
      <c r="F49" s="8">
        <v>1.92</v>
      </c>
      <c r="G49" s="12">
        <v>22</v>
      </c>
      <c r="H49" s="8">
        <v>6.92</v>
      </c>
      <c r="I49" s="12">
        <v>0</v>
      </c>
    </row>
    <row r="50" spans="2:9" ht="15" customHeight="1" x14ac:dyDescent="0.2">
      <c r="B50" t="s">
        <v>174</v>
      </c>
      <c r="C50" s="12">
        <v>21</v>
      </c>
      <c r="D50" s="8">
        <v>3.61</v>
      </c>
      <c r="E50" s="12">
        <v>9</v>
      </c>
      <c r="F50" s="8">
        <v>3.46</v>
      </c>
      <c r="G50" s="12">
        <v>12</v>
      </c>
      <c r="H50" s="8">
        <v>3.77</v>
      </c>
      <c r="I50" s="12">
        <v>0</v>
      </c>
    </row>
    <row r="51" spans="2:9" ht="15" customHeight="1" x14ac:dyDescent="0.2">
      <c r="B51" t="s">
        <v>156</v>
      </c>
      <c r="C51" s="12">
        <v>17</v>
      </c>
      <c r="D51" s="8">
        <v>2.93</v>
      </c>
      <c r="E51" s="12">
        <v>2</v>
      </c>
      <c r="F51" s="8">
        <v>0.77</v>
      </c>
      <c r="G51" s="12">
        <v>15</v>
      </c>
      <c r="H51" s="8">
        <v>4.72</v>
      </c>
      <c r="I51" s="12">
        <v>0</v>
      </c>
    </row>
    <row r="52" spans="2:9" ht="15" customHeight="1" x14ac:dyDescent="0.2">
      <c r="B52" t="s">
        <v>159</v>
      </c>
      <c r="C52" s="12">
        <v>17</v>
      </c>
      <c r="D52" s="8">
        <v>2.93</v>
      </c>
      <c r="E52" s="12">
        <v>12</v>
      </c>
      <c r="F52" s="8">
        <v>4.62</v>
      </c>
      <c r="G52" s="12">
        <v>5</v>
      </c>
      <c r="H52" s="8">
        <v>1.57</v>
      </c>
      <c r="I52" s="12">
        <v>0</v>
      </c>
    </row>
    <row r="53" spans="2:9" ht="15" customHeight="1" x14ac:dyDescent="0.2">
      <c r="B53" t="s">
        <v>173</v>
      </c>
      <c r="C53" s="12">
        <v>17</v>
      </c>
      <c r="D53" s="8">
        <v>2.93</v>
      </c>
      <c r="E53" s="12">
        <v>11</v>
      </c>
      <c r="F53" s="8">
        <v>4.2300000000000004</v>
      </c>
      <c r="G53" s="12">
        <v>6</v>
      </c>
      <c r="H53" s="8">
        <v>1.89</v>
      </c>
      <c r="I53" s="12">
        <v>0</v>
      </c>
    </row>
    <row r="54" spans="2:9" ht="15" customHeight="1" x14ac:dyDescent="0.2">
      <c r="B54" t="s">
        <v>209</v>
      </c>
      <c r="C54" s="12">
        <v>13</v>
      </c>
      <c r="D54" s="8">
        <v>2.2400000000000002</v>
      </c>
      <c r="E54" s="12">
        <v>5</v>
      </c>
      <c r="F54" s="8">
        <v>1.92</v>
      </c>
      <c r="G54" s="12">
        <v>8</v>
      </c>
      <c r="H54" s="8">
        <v>2.52</v>
      </c>
      <c r="I54" s="12">
        <v>0</v>
      </c>
    </row>
    <row r="55" spans="2:9" ht="15" customHeight="1" x14ac:dyDescent="0.2">
      <c r="B55" t="s">
        <v>170</v>
      </c>
      <c r="C55" s="12">
        <v>13</v>
      </c>
      <c r="D55" s="8">
        <v>2.2400000000000002</v>
      </c>
      <c r="E55" s="12">
        <v>13</v>
      </c>
      <c r="F55" s="8">
        <v>5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229</v>
      </c>
      <c r="C56" s="12">
        <v>12</v>
      </c>
      <c r="D56" s="8">
        <v>2.0699999999999998</v>
      </c>
      <c r="E56" s="12">
        <v>5</v>
      </c>
      <c r="F56" s="8">
        <v>1.92</v>
      </c>
      <c r="G56" s="12">
        <v>7</v>
      </c>
      <c r="H56" s="8">
        <v>2.2000000000000002</v>
      </c>
      <c r="I56" s="12">
        <v>0</v>
      </c>
    </row>
    <row r="57" spans="2:9" ht="15" customHeight="1" x14ac:dyDescent="0.2">
      <c r="B57" t="s">
        <v>224</v>
      </c>
      <c r="C57" s="12">
        <v>12</v>
      </c>
      <c r="D57" s="8">
        <v>2.0699999999999998</v>
      </c>
      <c r="E57" s="12">
        <v>1</v>
      </c>
      <c r="F57" s="8">
        <v>0.38</v>
      </c>
      <c r="G57" s="12">
        <v>11</v>
      </c>
      <c r="H57" s="8">
        <v>3.46</v>
      </c>
      <c r="I57" s="12">
        <v>0</v>
      </c>
    </row>
    <row r="58" spans="2:9" ht="15" customHeight="1" x14ac:dyDescent="0.2">
      <c r="B58" t="s">
        <v>155</v>
      </c>
      <c r="C58" s="12">
        <v>11</v>
      </c>
      <c r="D58" s="8">
        <v>1.89</v>
      </c>
      <c r="E58" s="12">
        <v>1</v>
      </c>
      <c r="F58" s="8">
        <v>0.38</v>
      </c>
      <c r="G58" s="12">
        <v>10</v>
      </c>
      <c r="H58" s="8">
        <v>3.14</v>
      </c>
      <c r="I58" s="12">
        <v>0</v>
      </c>
    </row>
    <row r="59" spans="2:9" ht="15" customHeight="1" x14ac:dyDescent="0.2">
      <c r="B59" t="s">
        <v>192</v>
      </c>
      <c r="C59" s="12">
        <v>11</v>
      </c>
      <c r="D59" s="8">
        <v>1.89</v>
      </c>
      <c r="E59" s="12">
        <v>2</v>
      </c>
      <c r="F59" s="8">
        <v>0.77</v>
      </c>
      <c r="G59" s="12">
        <v>9</v>
      </c>
      <c r="H59" s="8">
        <v>2.83</v>
      </c>
      <c r="I59" s="12">
        <v>0</v>
      </c>
    </row>
    <row r="60" spans="2:9" ht="15" customHeight="1" x14ac:dyDescent="0.2">
      <c r="B60" t="s">
        <v>164</v>
      </c>
      <c r="C60" s="12">
        <v>11</v>
      </c>
      <c r="D60" s="8">
        <v>1.89</v>
      </c>
      <c r="E60" s="12">
        <v>6</v>
      </c>
      <c r="F60" s="8">
        <v>2.31</v>
      </c>
      <c r="G60" s="12">
        <v>5</v>
      </c>
      <c r="H60" s="8">
        <v>1.57</v>
      </c>
      <c r="I60" s="12">
        <v>0</v>
      </c>
    </row>
    <row r="61" spans="2:9" ht="15" customHeight="1" x14ac:dyDescent="0.2">
      <c r="B61" t="s">
        <v>172</v>
      </c>
      <c r="C61" s="12">
        <v>11</v>
      </c>
      <c r="D61" s="8">
        <v>1.89</v>
      </c>
      <c r="E61" s="12">
        <v>11</v>
      </c>
      <c r="F61" s="8">
        <v>4.2300000000000004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154</v>
      </c>
      <c r="C62" s="12">
        <v>10</v>
      </c>
      <c r="D62" s="8">
        <v>1.72</v>
      </c>
      <c r="E62" s="12">
        <v>2</v>
      </c>
      <c r="F62" s="8">
        <v>0.77</v>
      </c>
      <c r="G62" s="12">
        <v>8</v>
      </c>
      <c r="H62" s="8">
        <v>2.52</v>
      </c>
      <c r="I62" s="12">
        <v>0</v>
      </c>
    </row>
    <row r="63" spans="2:9" ht="15" customHeight="1" x14ac:dyDescent="0.2">
      <c r="B63" t="s">
        <v>186</v>
      </c>
      <c r="C63" s="12">
        <v>10</v>
      </c>
      <c r="D63" s="8">
        <v>1.72</v>
      </c>
      <c r="E63" s="12">
        <v>9</v>
      </c>
      <c r="F63" s="8">
        <v>3.46</v>
      </c>
      <c r="G63" s="12">
        <v>1</v>
      </c>
      <c r="H63" s="8">
        <v>0.31</v>
      </c>
      <c r="I63" s="12">
        <v>0</v>
      </c>
    </row>
    <row r="64" spans="2:9" ht="15" customHeight="1" x14ac:dyDescent="0.2">
      <c r="B64" t="s">
        <v>202</v>
      </c>
      <c r="C64" s="12">
        <v>10</v>
      </c>
      <c r="D64" s="8">
        <v>1.72</v>
      </c>
      <c r="E64" s="12">
        <v>6</v>
      </c>
      <c r="F64" s="8">
        <v>2.31</v>
      </c>
      <c r="G64" s="12">
        <v>4</v>
      </c>
      <c r="H64" s="8">
        <v>1.26</v>
      </c>
      <c r="I64" s="12">
        <v>0</v>
      </c>
    </row>
    <row r="65" spans="2:9" ht="15" customHeight="1" x14ac:dyDescent="0.2">
      <c r="B65" t="s">
        <v>203</v>
      </c>
      <c r="C65" s="12">
        <v>10</v>
      </c>
      <c r="D65" s="8">
        <v>1.72</v>
      </c>
      <c r="E65" s="12">
        <v>4</v>
      </c>
      <c r="F65" s="8">
        <v>1.54</v>
      </c>
      <c r="G65" s="12">
        <v>6</v>
      </c>
      <c r="H65" s="8">
        <v>1.89</v>
      </c>
      <c r="I65" s="12">
        <v>0</v>
      </c>
    </row>
    <row r="66" spans="2:9" ht="15" customHeight="1" x14ac:dyDescent="0.2">
      <c r="B66" t="s">
        <v>227</v>
      </c>
      <c r="C66" s="12">
        <v>10</v>
      </c>
      <c r="D66" s="8">
        <v>1.72</v>
      </c>
      <c r="E66" s="12">
        <v>10</v>
      </c>
      <c r="F66" s="8">
        <v>3.85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169</v>
      </c>
      <c r="C67" s="12">
        <v>10</v>
      </c>
      <c r="D67" s="8">
        <v>1.72</v>
      </c>
      <c r="E67" s="12">
        <v>10</v>
      </c>
      <c r="F67" s="8">
        <v>3.85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160</v>
      </c>
      <c r="C68" s="12">
        <v>9</v>
      </c>
      <c r="D68" s="8">
        <v>1.55</v>
      </c>
      <c r="E68" s="12">
        <v>4</v>
      </c>
      <c r="F68" s="8">
        <v>1.54</v>
      </c>
      <c r="G68" s="12">
        <v>5</v>
      </c>
      <c r="H68" s="8">
        <v>1.57</v>
      </c>
      <c r="I68" s="12">
        <v>0</v>
      </c>
    </row>
    <row r="69" spans="2:9" ht="15" customHeight="1" x14ac:dyDescent="0.2">
      <c r="B69" t="s">
        <v>171</v>
      </c>
      <c r="C69" s="12">
        <v>9</v>
      </c>
      <c r="D69" s="8">
        <v>1.55</v>
      </c>
      <c r="E69" s="12">
        <v>8</v>
      </c>
      <c r="F69" s="8">
        <v>3.08</v>
      </c>
      <c r="G69" s="12">
        <v>1</v>
      </c>
      <c r="H69" s="8">
        <v>0.31</v>
      </c>
      <c r="I69" s="12">
        <v>0</v>
      </c>
    </row>
    <row r="71" spans="2:9" ht="15" customHeight="1" x14ac:dyDescent="0.2">
      <c r="B71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EC805-D0FC-4C7C-BE19-743E78E7B691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336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80</v>
      </c>
      <c r="D6" s="8">
        <v>16.23</v>
      </c>
      <c r="E6" s="12">
        <v>12</v>
      </c>
      <c r="F6" s="8">
        <v>7.36</v>
      </c>
      <c r="G6" s="12">
        <v>68</v>
      </c>
      <c r="H6" s="8">
        <v>20.67</v>
      </c>
      <c r="I6" s="12">
        <v>0</v>
      </c>
    </row>
    <row r="7" spans="2:9" ht="15" customHeight="1" x14ac:dyDescent="0.2">
      <c r="B7" t="s">
        <v>77</v>
      </c>
      <c r="C7" s="12">
        <v>51</v>
      </c>
      <c r="D7" s="8">
        <v>10.34</v>
      </c>
      <c r="E7" s="12">
        <v>15</v>
      </c>
      <c r="F7" s="8">
        <v>9.1999999999999993</v>
      </c>
      <c r="G7" s="12">
        <v>36</v>
      </c>
      <c r="H7" s="8">
        <v>10.94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3</v>
      </c>
      <c r="D9" s="8">
        <v>0.61</v>
      </c>
      <c r="E9" s="12">
        <v>0</v>
      </c>
      <c r="F9" s="8">
        <v>0</v>
      </c>
      <c r="G9" s="12">
        <v>3</v>
      </c>
      <c r="H9" s="8">
        <v>0.91</v>
      </c>
      <c r="I9" s="12">
        <v>0</v>
      </c>
    </row>
    <row r="10" spans="2:9" ht="15" customHeight="1" x14ac:dyDescent="0.2">
      <c r="B10" t="s">
        <v>80</v>
      </c>
      <c r="C10" s="12">
        <v>15</v>
      </c>
      <c r="D10" s="8">
        <v>3.04</v>
      </c>
      <c r="E10" s="12">
        <v>0</v>
      </c>
      <c r="F10" s="8">
        <v>0</v>
      </c>
      <c r="G10" s="12">
        <v>15</v>
      </c>
      <c r="H10" s="8">
        <v>4.5599999999999996</v>
      </c>
      <c r="I10" s="12">
        <v>0</v>
      </c>
    </row>
    <row r="11" spans="2:9" ht="15" customHeight="1" x14ac:dyDescent="0.2">
      <c r="B11" t="s">
        <v>81</v>
      </c>
      <c r="C11" s="12">
        <v>130</v>
      </c>
      <c r="D11" s="8">
        <v>26.37</v>
      </c>
      <c r="E11" s="12">
        <v>50</v>
      </c>
      <c r="F11" s="8">
        <v>30.67</v>
      </c>
      <c r="G11" s="12">
        <v>80</v>
      </c>
      <c r="H11" s="8">
        <v>24.32</v>
      </c>
      <c r="I11" s="12">
        <v>0</v>
      </c>
    </row>
    <row r="12" spans="2:9" ht="15" customHeight="1" x14ac:dyDescent="0.2">
      <c r="B12" t="s">
        <v>82</v>
      </c>
      <c r="C12" s="12">
        <v>3</v>
      </c>
      <c r="D12" s="8">
        <v>0.61</v>
      </c>
      <c r="E12" s="12">
        <v>1</v>
      </c>
      <c r="F12" s="8">
        <v>0.61</v>
      </c>
      <c r="G12" s="12">
        <v>2</v>
      </c>
      <c r="H12" s="8">
        <v>0.61</v>
      </c>
      <c r="I12" s="12">
        <v>0</v>
      </c>
    </row>
    <row r="13" spans="2:9" ht="15" customHeight="1" x14ac:dyDescent="0.2">
      <c r="B13" t="s">
        <v>83</v>
      </c>
      <c r="C13" s="12">
        <v>56</v>
      </c>
      <c r="D13" s="8">
        <v>11.36</v>
      </c>
      <c r="E13" s="12">
        <v>3</v>
      </c>
      <c r="F13" s="8">
        <v>1.84</v>
      </c>
      <c r="G13" s="12">
        <v>53</v>
      </c>
      <c r="H13" s="8">
        <v>16.11</v>
      </c>
      <c r="I13" s="12">
        <v>0</v>
      </c>
    </row>
    <row r="14" spans="2:9" ht="15" customHeight="1" x14ac:dyDescent="0.2">
      <c r="B14" t="s">
        <v>84</v>
      </c>
      <c r="C14" s="12">
        <v>20</v>
      </c>
      <c r="D14" s="8">
        <v>4.0599999999999996</v>
      </c>
      <c r="E14" s="12">
        <v>6</v>
      </c>
      <c r="F14" s="8">
        <v>3.68</v>
      </c>
      <c r="G14" s="12">
        <v>14</v>
      </c>
      <c r="H14" s="8">
        <v>4.26</v>
      </c>
      <c r="I14" s="12">
        <v>0</v>
      </c>
    </row>
    <row r="15" spans="2:9" ht="15" customHeight="1" x14ac:dyDescent="0.2">
      <c r="B15" t="s">
        <v>85</v>
      </c>
      <c r="C15" s="12">
        <v>29</v>
      </c>
      <c r="D15" s="8">
        <v>5.88</v>
      </c>
      <c r="E15" s="12">
        <v>18</v>
      </c>
      <c r="F15" s="8">
        <v>11.04</v>
      </c>
      <c r="G15" s="12">
        <v>11</v>
      </c>
      <c r="H15" s="8">
        <v>3.34</v>
      </c>
      <c r="I15" s="12">
        <v>0</v>
      </c>
    </row>
    <row r="16" spans="2:9" ht="15" customHeight="1" x14ac:dyDescent="0.2">
      <c r="B16" t="s">
        <v>86</v>
      </c>
      <c r="C16" s="12">
        <v>48</v>
      </c>
      <c r="D16" s="8">
        <v>9.74</v>
      </c>
      <c r="E16" s="12">
        <v>27</v>
      </c>
      <c r="F16" s="8">
        <v>16.559999999999999</v>
      </c>
      <c r="G16" s="12">
        <v>20</v>
      </c>
      <c r="H16" s="8">
        <v>6.08</v>
      </c>
      <c r="I16" s="12">
        <v>0</v>
      </c>
    </row>
    <row r="17" spans="2:9" ht="15" customHeight="1" x14ac:dyDescent="0.2">
      <c r="B17" t="s">
        <v>87</v>
      </c>
      <c r="C17" s="12">
        <v>14</v>
      </c>
      <c r="D17" s="8">
        <v>2.84</v>
      </c>
      <c r="E17" s="12">
        <v>11</v>
      </c>
      <c r="F17" s="8">
        <v>6.75</v>
      </c>
      <c r="G17" s="12">
        <v>3</v>
      </c>
      <c r="H17" s="8">
        <v>0.91</v>
      </c>
      <c r="I17" s="12">
        <v>0</v>
      </c>
    </row>
    <row r="18" spans="2:9" ht="15" customHeight="1" x14ac:dyDescent="0.2">
      <c r="B18" t="s">
        <v>88</v>
      </c>
      <c r="C18" s="12">
        <v>20</v>
      </c>
      <c r="D18" s="8">
        <v>4.0599999999999996</v>
      </c>
      <c r="E18" s="12">
        <v>11</v>
      </c>
      <c r="F18" s="8">
        <v>6.75</v>
      </c>
      <c r="G18" s="12">
        <v>9</v>
      </c>
      <c r="H18" s="8">
        <v>2.74</v>
      </c>
      <c r="I18" s="12">
        <v>0</v>
      </c>
    </row>
    <row r="19" spans="2:9" ht="15" customHeight="1" x14ac:dyDescent="0.2">
      <c r="B19" t="s">
        <v>89</v>
      </c>
      <c r="C19" s="12">
        <v>24</v>
      </c>
      <c r="D19" s="8">
        <v>4.87</v>
      </c>
      <c r="E19" s="12">
        <v>9</v>
      </c>
      <c r="F19" s="8">
        <v>5.52</v>
      </c>
      <c r="G19" s="12">
        <v>15</v>
      </c>
      <c r="H19" s="8">
        <v>4.5599999999999996</v>
      </c>
      <c r="I19" s="12">
        <v>0</v>
      </c>
    </row>
    <row r="20" spans="2:9" ht="15" customHeight="1" x14ac:dyDescent="0.2">
      <c r="B20" s="9" t="s">
        <v>285</v>
      </c>
      <c r="C20" s="12">
        <f>SUM(LTBL_40345[総数／事業所数])</f>
        <v>493</v>
      </c>
      <c r="E20" s="12">
        <f>SUBTOTAL(109,LTBL_40345[個人／事業所数])</f>
        <v>163</v>
      </c>
      <c r="G20" s="12">
        <f>SUBTOTAL(109,LTBL_40345[法人／事業所数])</f>
        <v>329</v>
      </c>
      <c r="I20" s="12">
        <f>SUBTOTAL(109,LTBL_40345[法人以外の団体／事業所数])</f>
        <v>0</v>
      </c>
    </row>
    <row r="21" spans="2:9" ht="15" customHeight="1" x14ac:dyDescent="0.2">
      <c r="E21" s="11">
        <f>LTBL_40345[[#Totals],[個人／事業所数]]/LTBL_40345[[#Totals],[総数／事業所数]]</f>
        <v>0.33062880324543609</v>
      </c>
      <c r="G21" s="11">
        <f>LTBL_40345[[#Totals],[法人／事業所数]]/LTBL_40345[[#Totals],[総数／事業所数]]</f>
        <v>0.66734279918864092</v>
      </c>
      <c r="I21" s="11">
        <f>LTBL_40345[[#Totals],[法人以外の団体／事業所数]]/LTBL_40345[[#Totals],[総数／事業所数]]</f>
        <v>0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109</v>
      </c>
      <c r="C24" s="12">
        <v>41</v>
      </c>
      <c r="D24" s="8">
        <v>8.32</v>
      </c>
      <c r="E24" s="12">
        <v>2</v>
      </c>
      <c r="F24" s="8">
        <v>1.23</v>
      </c>
      <c r="G24" s="12">
        <v>39</v>
      </c>
      <c r="H24" s="8">
        <v>11.85</v>
      </c>
      <c r="I24" s="12">
        <v>0</v>
      </c>
    </row>
    <row r="25" spans="2:9" ht="15" customHeight="1" x14ac:dyDescent="0.2">
      <c r="B25" t="s">
        <v>98</v>
      </c>
      <c r="C25" s="12">
        <v>35</v>
      </c>
      <c r="D25" s="8">
        <v>7.1</v>
      </c>
      <c r="E25" s="12">
        <v>3</v>
      </c>
      <c r="F25" s="8">
        <v>1.84</v>
      </c>
      <c r="G25" s="12">
        <v>32</v>
      </c>
      <c r="H25" s="8">
        <v>9.73</v>
      </c>
      <c r="I25" s="12">
        <v>0</v>
      </c>
    </row>
    <row r="26" spans="2:9" ht="15" customHeight="1" x14ac:dyDescent="0.2">
      <c r="B26" t="s">
        <v>107</v>
      </c>
      <c r="C26" s="12">
        <v>35</v>
      </c>
      <c r="D26" s="8">
        <v>7.1</v>
      </c>
      <c r="E26" s="12">
        <v>13</v>
      </c>
      <c r="F26" s="8">
        <v>7.98</v>
      </c>
      <c r="G26" s="12">
        <v>22</v>
      </c>
      <c r="H26" s="8">
        <v>6.69</v>
      </c>
      <c r="I26" s="12">
        <v>0</v>
      </c>
    </row>
    <row r="27" spans="2:9" ht="15" customHeight="1" x14ac:dyDescent="0.2">
      <c r="B27" t="s">
        <v>113</v>
      </c>
      <c r="C27" s="12">
        <v>32</v>
      </c>
      <c r="D27" s="8">
        <v>6.49</v>
      </c>
      <c r="E27" s="12">
        <v>24</v>
      </c>
      <c r="F27" s="8">
        <v>14.72</v>
      </c>
      <c r="G27" s="12">
        <v>8</v>
      </c>
      <c r="H27" s="8">
        <v>2.4300000000000002</v>
      </c>
      <c r="I27" s="12">
        <v>0</v>
      </c>
    </row>
    <row r="28" spans="2:9" ht="15" customHeight="1" x14ac:dyDescent="0.2">
      <c r="B28" t="s">
        <v>99</v>
      </c>
      <c r="C28" s="12">
        <v>23</v>
      </c>
      <c r="D28" s="8">
        <v>4.67</v>
      </c>
      <c r="E28" s="12">
        <v>7</v>
      </c>
      <c r="F28" s="8">
        <v>4.29</v>
      </c>
      <c r="G28" s="12">
        <v>16</v>
      </c>
      <c r="H28" s="8">
        <v>4.8600000000000003</v>
      </c>
      <c r="I28" s="12">
        <v>0</v>
      </c>
    </row>
    <row r="29" spans="2:9" ht="15" customHeight="1" x14ac:dyDescent="0.2">
      <c r="B29" t="s">
        <v>100</v>
      </c>
      <c r="C29" s="12">
        <v>22</v>
      </c>
      <c r="D29" s="8">
        <v>4.46</v>
      </c>
      <c r="E29" s="12">
        <v>2</v>
      </c>
      <c r="F29" s="8">
        <v>1.23</v>
      </c>
      <c r="G29" s="12">
        <v>20</v>
      </c>
      <c r="H29" s="8">
        <v>6.08</v>
      </c>
      <c r="I29" s="12">
        <v>0</v>
      </c>
    </row>
    <row r="30" spans="2:9" ht="15" customHeight="1" x14ac:dyDescent="0.2">
      <c r="B30" t="s">
        <v>105</v>
      </c>
      <c r="C30" s="12">
        <v>22</v>
      </c>
      <c r="D30" s="8">
        <v>4.46</v>
      </c>
      <c r="E30" s="12">
        <v>17</v>
      </c>
      <c r="F30" s="8">
        <v>10.43</v>
      </c>
      <c r="G30" s="12">
        <v>5</v>
      </c>
      <c r="H30" s="8">
        <v>1.52</v>
      </c>
      <c r="I30" s="12">
        <v>0</v>
      </c>
    </row>
    <row r="31" spans="2:9" ht="15" customHeight="1" x14ac:dyDescent="0.2">
      <c r="B31" t="s">
        <v>112</v>
      </c>
      <c r="C31" s="12">
        <v>21</v>
      </c>
      <c r="D31" s="8">
        <v>4.26</v>
      </c>
      <c r="E31" s="12">
        <v>15</v>
      </c>
      <c r="F31" s="8">
        <v>9.1999999999999993</v>
      </c>
      <c r="G31" s="12">
        <v>6</v>
      </c>
      <c r="H31" s="8">
        <v>1.82</v>
      </c>
      <c r="I31" s="12">
        <v>0</v>
      </c>
    </row>
    <row r="32" spans="2:9" ht="15" customHeight="1" x14ac:dyDescent="0.2">
      <c r="B32" t="s">
        <v>106</v>
      </c>
      <c r="C32" s="12">
        <v>20</v>
      </c>
      <c r="D32" s="8">
        <v>4.0599999999999996</v>
      </c>
      <c r="E32" s="12">
        <v>12</v>
      </c>
      <c r="F32" s="8">
        <v>7.36</v>
      </c>
      <c r="G32" s="12">
        <v>8</v>
      </c>
      <c r="H32" s="8">
        <v>2.4300000000000002</v>
      </c>
      <c r="I32" s="12">
        <v>0</v>
      </c>
    </row>
    <row r="33" spans="2:9" ht="15" customHeight="1" x14ac:dyDescent="0.2">
      <c r="B33" t="s">
        <v>101</v>
      </c>
      <c r="C33" s="12">
        <v>16</v>
      </c>
      <c r="D33" s="8">
        <v>3.25</v>
      </c>
      <c r="E33" s="12">
        <v>3</v>
      </c>
      <c r="F33" s="8">
        <v>1.84</v>
      </c>
      <c r="G33" s="12">
        <v>13</v>
      </c>
      <c r="H33" s="8">
        <v>3.95</v>
      </c>
      <c r="I33" s="12">
        <v>0</v>
      </c>
    </row>
    <row r="34" spans="2:9" ht="15" customHeight="1" x14ac:dyDescent="0.2">
      <c r="B34" t="s">
        <v>114</v>
      </c>
      <c r="C34" s="12">
        <v>14</v>
      </c>
      <c r="D34" s="8">
        <v>2.84</v>
      </c>
      <c r="E34" s="12">
        <v>11</v>
      </c>
      <c r="F34" s="8">
        <v>6.75</v>
      </c>
      <c r="G34" s="12">
        <v>3</v>
      </c>
      <c r="H34" s="8">
        <v>0.91</v>
      </c>
      <c r="I34" s="12">
        <v>0</v>
      </c>
    </row>
    <row r="35" spans="2:9" ht="15" customHeight="1" x14ac:dyDescent="0.2">
      <c r="B35" t="s">
        <v>110</v>
      </c>
      <c r="C35" s="12">
        <v>12</v>
      </c>
      <c r="D35" s="8">
        <v>2.4300000000000002</v>
      </c>
      <c r="E35" s="12">
        <v>4</v>
      </c>
      <c r="F35" s="8">
        <v>2.4500000000000002</v>
      </c>
      <c r="G35" s="12">
        <v>8</v>
      </c>
      <c r="H35" s="8">
        <v>2.4300000000000002</v>
      </c>
      <c r="I35" s="12">
        <v>0</v>
      </c>
    </row>
    <row r="36" spans="2:9" ht="15" customHeight="1" x14ac:dyDescent="0.2">
      <c r="B36" t="s">
        <v>115</v>
      </c>
      <c r="C36" s="12">
        <v>11</v>
      </c>
      <c r="D36" s="8">
        <v>2.23</v>
      </c>
      <c r="E36" s="12">
        <v>9</v>
      </c>
      <c r="F36" s="8">
        <v>5.52</v>
      </c>
      <c r="G36" s="12">
        <v>2</v>
      </c>
      <c r="H36" s="8">
        <v>0.61</v>
      </c>
      <c r="I36" s="12">
        <v>0</v>
      </c>
    </row>
    <row r="37" spans="2:9" ht="15" customHeight="1" x14ac:dyDescent="0.2">
      <c r="B37" t="s">
        <v>137</v>
      </c>
      <c r="C37" s="12">
        <v>10</v>
      </c>
      <c r="D37" s="8">
        <v>2.0299999999999998</v>
      </c>
      <c r="E37" s="12">
        <v>0</v>
      </c>
      <c r="F37" s="8">
        <v>0</v>
      </c>
      <c r="G37" s="12">
        <v>10</v>
      </c>
      <c r="H37" s="8">
        <v>3.04</v>
      </c>
      <c r="I37" s="12">
        <v>0</v>
      </c>
    </row>
    <row r="38" spans="2:9" ht="15" customHeight="1" x14ac:dyDescent="0.2">
      <c r="B38" t="s">
        <v>139</v>
      </c>
      <c r="C38" s="12">
        <v>10</v>
      </c>
      <c r="D38" s="8">
        <v>2.0299999999999998</v>
      </c>
      <c r="E38" s="12">
        <v>4</v>
      </c>
      <c r="F38" s="8">
        <v>2.4500000000000002</v>
      </c>
      <c r="G38" s="12">
        <v>6</v>
      </c>
      <c r="H38" s="8">
        <v>1.82</v>
      </c>
      <c r="I38" s="12">
        <v>0</v>
      </c>
    </row>
    <row r="39" spans="2:9" ht="15" customHeight="1" x14ac:dyDescent="0.2">
      <c r="B39" t="s">
        <v>126</v>
      </c>
      <c r="C39" s="12">
        <v>9</v>
      </c>
      <c r="D39" s="8">
        <v>1.83</v>
      </c>
      <c r="E39" s="12">
        <v>2</v>
      </c>
      <c r="F39" s="8">
        <v>1.23</v>
      </c>
      <c r="G39" s="12">
        <v>7</v>
      </c>
      <c r="H39" s="8">
        <v>2.13</v>
      </c>
      <c r="I39" s="12">
        <v>0</v>
      </c>
    </row>
    <row r="40" spans="2:9" ht="15" customHeight="1" x14ac:dyDescent="0.2">
      <c r="B40" t="s">
        <v>108</v>
      </c>
      <c r="C40" s="12">
        <v>9</v>
      </c>
      <c r="D40" s="8">
        <v>1.83</v>
      </c>
      <c r="E40" s="12">
        <v>0</v>
      </c>
      <c r="F40" s="8">
        <v>0</v>
      </c>
      <c r="G40" s="12">
        <v>9</v>
      </c>
      <c r="H40" s="8">
        <v>2.74</v>
      </c>
      <c r="I40" s="12">
        <v>0</v>
      </c>
    </row>
    <row r="41" spans="2:9" ht="15" customHeight="1" x14ac:dyDescent="0.2">
      <c r="B41" t="s">
        <v>118</v>
      </c>
      <c r="C41" s="12">
        <v>9</v>
      </c>
      <c r="D41" s="8">
        <v>1.83</v>
      </c>
      <c r="E41" s="12">
        <v>0</v>
      </c>
      <c r="F41" s="8">
        <v>0</v>
      </c>
      <c r="G41" s="12">
        <v>9</v>
      </c>
      <c r="H41" s="8">
        <v>2.74</v>
      </c>
      <c r="I41" s="12">
        <v>0</v>
      </c>
    </row>
    <row r="42" spans="2:9" ht="15" customHeight="1" x14ac:dyDescent="0.2">
      <c r="B42" t="s">
        <v>116</v>
      </c>
      <c r="C42" s="12">
        <v>9</v>
      </c>
      <c r="D42" s="8">
        <v>1.83</v>
      </c>
      <c r="E42" s="12">
        <v>2</v>
      </c>
      <c r="F42" s="8">
        <v>1.23</v>
      </c>
      <c r="G42" s="12">
        <v>7</v>
      </c>
      <c r="H42" s="8">
        <v>2.13</v>
      </c>
      <c r="I42" s="12">
        <v>0</v>
      </c>
    </row>
    <row r="43" spans="2:9" ht="15" customHeight="1" x14ac:dyDescent="0.2">
      <c r="B43" t="s">
        <v>123</v>
      </c>
      <c r="C43" s="12">
        <v>8</v>
      </c>
      <c r="D43" s="8">
        <v>1.62</v>
      </c>
      <c r="E43" s="12">
        <v>5</v>
      </c>
      <c r="F43" s="8">
        <v>3.07</v>
      </c>
      <c r="G43" s="12">
        <v>3</v>
      </c>
      <c r="H43" s="8">
        <v>0.91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164</v>
      </c>
      <c r="C47" s="12">
        <v>20</v>
      </c>
      <c r="D47" s="8">
        <v>4.0599999999999996</v>
      </c>
      <c r="E47" s="12">
        <v>2</v>
      </c>
      <c r="F47" s="8">
        <v>1.23</v>
      </c>
      <c r="G47" s="12">
        <v>18</v>
      </c>
      <c r="H47" s="8">
        <v>5.47</v>
      </c>
      <c r="I47" s="12">
        <v>0</v>
      </c>
    </row>
    <row r="48" spans="2:9" ht="15" customHeight="1" x14ac:dyDescent="0.2">
      <c r="B48" t="s">
        <v>163</v>
      </c>
      <c r="C48" s="12">
        <v>19</v>
      </c>
      <c r="D48" s="8">
        <v>3.85</v>
      </c>
      <c r="E48" s="12">
        <v>0</v>
      </c>
      <c r="F48" s="8">
        <v>0</v>
      </c>
      <c r="G48" s="12">
        <v>19</v>
      </c>
      <c r="H48" s="8">
        <v>5.78</v>
      </c>
      <c r="I48" s="12">
        <v>0</v>
      </c>
    </row>
    <row r="49" spans="2:9" ht="15" customHeight="1" x14ac:dyDescent="0.2">
      <c r="B49" t="s">
        <v>159</v>
      </c>
      <c r="C49" s="12">
        <v>18</v>
      </c>
      <c r="D49" s="8">
        <v>3.65</v>
      </c>
      <c r="E49" s="12">
        <v>10</v>
      </c>
      <c r="F49" s="8">
        <v>6.13</v>
      </c>
      <c r="G49" s="12">
        <v>8</v>
      </c>
      <c r="H49" s="8">
        <v>2.4300000000000002</v>
      </c>
      <c r="I49" s="12">
        <v>0</v>
      </c>
    </row>
    <row r="50" spans="2:9" ht="15" customHeight="1" x14ac:dyDescent="0.2">
      <c r="B50" t="s">
        <v>170</v>
      </c>
      <c r="C50" s="12">
        <v>15</v>
      </c>
      <c r="D50" s="8">
        <v>3.04</v>
      </c>
      <c r="E50" s="12">
        <v>13</v>
      </c>
      <c r="F50" s="8">
        <v>7.98</v>
      </c>
      <c r="G50" s="12">
        <v>2</v>
      </c>
      <c r="H50" s="8">
        <v>0.61</v>
      </c>
      <c r="I50" s="12">
        <v>0</v>
      </c>
    </row>
    <row r="51" spans="2:9" ht="15" customHeight="1" x14ac:dyDescent="0.2">
      <c r="B51" t="s">
        <v>154</v>
      </c>
      <c r="C51" s="12">
        <v>11</v>
      </c>
      <c r="D51" s="8">
        <v>2.23</v>
      </c>
      <c r="E51" s="12">
        <v>0</v>
      </c>
      <c r="F51" s="8">
        <v>0</v>
      </c>
      <c r="G51" s="12">
        <v>11</v>
      </c>
      <c r="H51" s="8">
        <v>3.34</v>
      </c>
      <c r="I51" s="12">
        <v>0</v>
      </c>
    </row>
    <row r="52" spans="2:9" ht="15" customHeight="1" x14ac:dyDescent="0.2">
      <c r="B52" t="s">
        <v>160</v>
      </c>
      <c r="C52" s="12">
        <v>10</v>
      </c>
      <c r="D52" s="8">
        <v>2.0299999999999998</v>
      </c>
      <c r="E52" s="12">
        <v>2</v>
      </c>
      <c r="F52" s="8">
        <v>1.23</v>
      </c>
      <c r="G52" s="12">
        <v>8</v>
      </c>
      <c r="H52" s="8">
        <v>2.4300000000000002</v>
      </c>
      <c r="I52" s="12">
        <v>0</v>
      </c>
    </row>
    <row r="53" spans="2:9" ht="15" customHeight="1" x14ac:dyDescent="0.2">
      <c r="B53" t="s">
        <v>174</v>
      </c>
      <c r="C53" s="12">
        <v>9</v>
      </c>
      <c r="D53" s="8">
        <v>1.83</v>
      </c>
      <c r="E53" s="12">
        <v>1</v>
      </c>
      <c r="F53" s="8">
        <v>0.61</v>
      </c>
      <c r="G53" s="12">
        <v>8</v>
      </c>
      <c r="H53" s="8">
        <v>2.4300000000000002</v>
      </c>
      <c r="I53" s="12">
        <v>0</v>
      </c>
    </row>
    <row r="54" spans="2:9" ht="15" customHeight="1" x14ac:dyDescent="0.2">
      <c r="B54" t="s">
        <v>224</v>
      </c>
      <c r="C54" s="12">
        <v>9</v>
      </c>
      <c r="D54" s="8">
        <v>1.83</v>
      </c>
      <c r="E54" s="12">
        <v>0</v>
      </c>
      <c r="F54" s="8">
        <v>0</v>
      </c>
      <c r="G54" s="12">
        <v>9</v>
      </c>
      <c r="H54" s="8">
        <v>2.74</v>
      </c>
      <c r="I54" s="12">
        <v>0</v>
      </c>
    </row>
    <row r="55" spans="2:9" ht="15" customHeight="1" x14ac:dyDescent="0.2">
      <c r="B55" t="s">
        <v>162</v>
      </c>
      <c r="C55" s="12">
        <v>9</v>
      </c>
      <c r="D55" s="8">
        <v>1.83</v>
      </c>
      <c r="E55" s="12">
        <v>0</v>
      </c>
      <c r="F55" s="8">
        <v>0</v>
      </c>
      <c r="G55" s="12">
        <v>9</v>
      </c>
      <c r="H55" s="8">
        <v>2.74</v>
      </c>
      <c r="I55" s="12">
        <v>0</v>
      </c>
    </row>
    <row r="56" spans="2:9" ht="15" customHeight="1" x14ac:dyDescent="0.2">
      <c r="B56" t="s">
        <v>167</v>
      </c>
      <c r="C56" s="12">
        <v>9</v>
      </c>
      <c r="D56" s="8">
        <v>1.83</v>
      </c>
      <c r="E56" s="12">
        <v>7</v>
      </c>
      <c r="F56" s="8">
        <v>4.29</v>
      </c>
      <c r="G56" s="12">
        <v>2</v>
      </c>
      <c r="H56" s="8">
        <v>0.61</v>
      </c>
      <c r="I56" s="12">
        <v>0</v>
      </c>
    </row>
    <row r="57" spans="2:9" ht="15" customHeight="1" x14ac:dyDescent="0.2">
      <c r="B57" t="s">
        <v>158</v>
      </c>
      <c r="C57" s="12">
        <v>8</v>
      </c>
      <c r="D57" s="8">
        <v>1.62</v>
      </c>
      <c r="E57" s="12">
        <v>4</v>
      </c>
      <c r="F57" s="8">
        <v>2.4500000000000002</v>
      </c>
      <c r="G57" s="12">
        <v>4</v>
      </c>
      <c r="H57" s="8">
        <v>1.22</v>
      </c>
      <c r="I57" s="12">
        <v>0</v>
      </c>
    </row>
    <row r="58" spans="2:9" ht="15" customHeight="1" x14ac:dyDescent="0.2">
      <c r="B58" t="s">
        <v>205</v>
      </c>
      <c r="C58" s="12">
        <v>8</v>
      </c>
      <c r="D58" s="8">
        <v>1.62</v>
      </c>
      <c r="E58" s="12">
        <v>3</v>
      </c>
      <c r="F58" s="8">
        <v>1.84</v>
      </c>
      <c r="G58" s="12">
        <v>5</v>
      </c>
      <c r="H58" s="8">
        <v>1.52</v>
      </c>
      <c r="I58" s="12">
        <v>0</v>
      </c>
    </row>
    <row r="59" spans="2:9" ht="15" customHeight="1" x14ac:dyDescent="0.2">
      <c r="B59" t="s">
        <v>169</v>
      </c>
      <c r="C59" s="12">
        <v>8</v>
      </c>
      <c r="D59" s="8">
        <v>1.62</v>
      </c>
      <c r="E59" s="12">
        <v>7</v>
      </c>
      <c r="F59" s="8">
        <v>4.29</v>
      </c>
      <c r="G59" s="12">
        <v>1</v>
      </c>
      <c r="H59" s="8">
        <v>0.3</v>
      </c>
      <c r="I59" s="12">
        <v>0</v>
      </c>
    </row>
    <row r="60" spans="2:9" ht="15" customHeight="1" x14ac:dyDescent="0.2">
      <c r="B60" t="s">
        <v>171</v>
      </c>
      <c r="C60" s="12">
        <v>8</v>
      </c>
      <c r="D60" s="8">
        <v>1.62</v>
      </c>
      <c r="E60" s="12">
        <v>8</v>
      </c>
      <c r="F60" s="8">
        <v>4.91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173</v>
      </c>
      <c r="C61" s="12">
        <v>8</v>
      </c>
      <c r="D61" s="8">
        <v>1.62</v>
      </c>
      <c r="E61" s="12">
        <v>5</v>
      </c>
      <c r="F61" s="8">
        <v>3.07</v>
      </c>
      <c r="G61" s="12">
        <v>3</v>
      </c>
      <c r="H61" s="8">
        <v>0.91</v>
      </c>
      <c r="I61" s="12">
        <v>0</v>
      </c>
    </row>
    <row r="62" spans="2:9" ht="15" customHeight="1" x14ac:dyDescent="0.2">
      <c r="B62" t="s">
        <v>155</v>
      </c>
      <c r="C62" s="12">
        <v>7</v>
      </c>
      <c r="D62" s="8">
        <v>1.42</v>
      </c>
      <c r="E62" s="12">
        <v>1</v>
      </c>
      <c r="F62" s="8">
        <v>0.61</v>
      </c>
      <c r="G62" s="12">
        <v>6</v>
      </c>
      <c r="H62" s="8">
        <v>1.82</v>
      </c>
      <c r="I62" s="12">
        <v>0</v>
      </c>
    </row>
    <row r="63" spans="2:9" ht="15" customHeight="1" x14ac:dyDescent="0.2">
      <c r="B63" t="s">
        <v>203</v>
      </c>
      <c r="C63" s="12">
        <v>7</v>
      </c>
      <c r="D63" s="8">
        <v>1.42</v>
      </c>
      <c r="E63" s="12">
        <v>1</v>
      </c>
      <c r="F63" s="8">
        <v>0.61</v>
      </c>
      <c r="G63" s="12">
        <v>6</v>
      </c>
      <c r="H63" s="8">
        <v>1.82</v>
      </c>
      <c r="I63" s="12">
        <v>0</v>
      </c>
    </row>
    <row r="64" spans="2:9" ht="15" customHeight="1" x14ac:dyDescent="0.2">
      <c r="B64" t="s">
        <v>156</v>
      </c>
      <c r="C64" s="12">
        <v>7</v>
      </c>
      <c r="D64" s="8">
        <v>1.42</v>
      </c>
      <c r="E64" s="12">
        <v>1</v>
      </c>
      <c r="F64" s="8">
        <v>0.61</v>
      </c>
      <c r="G64" s="12">
        <v>6</v>
      </c>
      <c r="H64" s="8">
        <v>1.82</v>
      </c>
      <c r="I64" s="12">
        <v>0</v>
      </c>
    </row>
    <row r="65" spans="2:9" ht="15" customHeight="1" x14ac:dyDescent="0.2">
      <c r="B65" t="s">
        <v>194</v>
      </c>
      <c r="C65" s="12">
        <v>7</v>
      </c>
      <c r="D65" s="8">
        <v>1.42</v>
      </c>
      <c r="E65" s="12">
        <v>2</v>
      </c>
      <c r="F65" s="8">
        <v>1.23</v>
      </c>
      <c r="G65" s="12">
        <v>5</v>
      </c>
      <c r="H65" s="8">
        <v>1.52</v>
      </c>
      <c r="I65" s="12">
        <v>0</v>
      </c>
    </row>
    <row r="66" spans="2:9" ht="15" customHeight="1" x14ac:dyDescent="0.2">
      <c r="B66" t="s">
        <v>192</v>
      </c>
      <c r="C66" s="12">
        <v>7</v>
      </c>
      <c r="D66" s="8">
        <v>1.42</v>
      </c>
      <c r="E66" s="12">
        <v>2</v>
      </c>
      <c r="F66" s="8">
        <v>1.23</v>
      </c>
      <c r="G66" s="12">
        <v>5</v>
      </c>
      <c r="H66" s="8">
        <v>1.52</v>
      </c>
      <c r="I66" s="12">
        <v>0</v>
      </c>
    </row>
    <row r="67" spans="2:9" ht="15" customHeight="1" x14ac:dyDescent="0.2">
      <c r="B67" t="s">
        <v>222</v>
      </c>
      <c r="C67" s="12">
        <v>7</v>
      </c>
      <c r="D67" s="8">
        <v>1.42</v>
      </c>
      <c r="E67" s="12">
        <v>0</v>
      </c>
      <c r="F67" s="8">
        <v>0</v>
      </c>
      <c r="G67" s="12">
        <v>7</v>
      </c>
      <c r="H67" s="8">
        <v>2.13</v>
      </c>
      <c r="I67" s="12">
        <v>0</v>
      </c>
    </row>
    <row r="68" spans="2:9" ht="15" customHeight="1" x14ac:dyDescent="0.2">
      <c r="B68" t="s">
        <v>172</v>
      </c>
      <c r="C68" s="12">
        <v>7</v>
      </c>
      <c r="D68" s="8">
        <v>1.42</v>
      </c>
      <c r="E68" s="12">
        <v>5</v>
      </c>
      <c r="F68" s="8">
        <v>3.07</v>
      </c>
      <c r="G68" s="12">
        <v>2</v>
      </c>
      <c r="H68" s="8">
        <v>0.61</v>
      </c>
      <c r="I68" s="12">
        <v>0</v>
      </c>
    </row>
    <row r="70" spans="2:9" ht="15" customHeight="1" x14ac:dyDescent="0.2">
      <c r="B70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7518D-4FAB-4D80-B85A-B421EE6114D8}">
  <sheetPr>
    <pageSetUpPr fitToPage="1"/>
  </sheetPr>
  <dimension ref="B2:I10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337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38</v>
      </c>
      <c r="D6" s="8">
        <v>18.72</v>
      </c>
      <c r="E6" s="12">
        <v>11</v>
      </c>
      <c r="F6" s="8">
        <v>14.67</v>
      </c>
      <c r="G6" s="12">
        <v>27</v>
      </c>
      <c r="H6" s="8">
        <v>21.43</v>
      </c>
      <c r="I6" s="12">
        <v>0</v>
      </c>
    </row>
    <row r="7" spans="2:9" ht="15" customHeight="1" x14ac:dyDescent="0.2">
      <c r="B7" t="s">
        <v>77</v>
      </c>
      <c r="C7" s="12">
        <v>21</v>
      </c>
      <c r="D7" s="8">
        <v>10.34</v>
      </c>
      <c r="E7" s="12">
        <v>9</v>
      </c>
      <c r="F7" s="8">
        <v>12</v>
      </c>
      <c r="G7" s="12">
        <v>12</v>
      </c>
      <c r="H7" s="8">
        <v>9.52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80</v>
      </c>
      <c r="C10" s="12">
        <v>8</v>
      </c>
      <c r="D10" s="8">
        <v>3.94</v>
      </c>
      <c r="E10" s="12">
        <v>1</v>
      </c>
      <c r="F10" s="8">
        <v>1.33</v>
      </c>
      <c r="G10" s="12">
        <v>7</v>
      </c>
      <c r="H10" s="8">
        <v>5.56</v>
      </c>
      <c r="I10" s="12">
        <v>0</v>
      </c>
    </row>
    <row r="11" spans="2:9" ht="15" customHeight="1" x14ac:dyDescent="0.2">
      <c r="B11" t="s">
        <v>81</v>
      </c>
      <c r="C11" s="12">
        <v>64</v>
      </c>
      <c r="D11" s="8">
        <v>31.53</v>
      </c>
      <c r="E11" s="12">
        <v>19</v>
      </c>
      <c r="F11" s="8">
        <v>25.33</v>
      </c>
      <c r="G11" s="12">
        <v>45</v>
      </c>
      <c r="H11" s="8">
        <v>35.71</v>
      </c>
      <c r="I11" s="12">
        <v>0</v>
      </c>
    </row>
    <row r="12" spans="2:9" ht="15" customHeight="1" x14ac:dyDescent="0.2">
      <c r="B12" t="s">
        <v>82</v>
      </c>
      <c r="C12" s="12">
        <v>1</v>
      </c>
      <c r="D12" s="8">
        <v>0.49</v>
      </c>
      <c r="E12" s="12">
        <v>0</v>
      </c>
      <c r="F12" s="8">
        <v>0</v>
      </c>
      <c r="G12" s="12">
        <v>1</v>
      </c>
      <c r="H12" s="8">
        <v>0.79</v>
      </c>
      <c r="I12" s="12">
        <v>0</v>
      </c>
    </row>
    <row r="13" spans="2:9" ht="15" customHeight="1" x14ac:dyDescent="0.2">
      <c r="B13" t="s">
        <v>83</v>
      </c>
      <c r="C13" s="12">
        <v>10</v>
      </c>
      <c r="D13" s="8">
        <v>4.93</v>
      </c>
      <c r="E13" s="12">
        <v>2</v>
      </c>
      <c r="F13" s="8">
        <v>2.67</v>
      </c>
      <c r="G13" s="12">
        <v>8</v>
      </c>
      <c r="H13" s="8">
        <v>6.35</v>
      </c>
      <c r="I13" s="12">
        <v>0</v>
      </c>
    </row>
    <row r="14" spans="2:9" ht="15" customHeight="1" x14ac:dyDescent="0.2">
      <c r="B14" t="s">
        <v>84</v>
      </c>
      <c r="C14" s="12">
        <v>3</v>
      </c>
      <c r="D14" s="8">
        <v>1.48</v>
      </c>
      <c r="E14" s="12">
        <v>1</v>
      </c>
      <c r="F14" s="8">
        <v>1.33</v>
      </c>
      <c r="G14" s="12">
        <v>2</v>
      </c>
      <c r="H14" s="8">
        <v>1.59</v>
      </c>
      <c r="I14" s="12">
        <v>0</v>
      </c>
    </row>
    <row r="15" spans="2:9" ht="15" customHeight="1" x14ac:dyDescent="0.2">
      <c r="B15" t="s">
        <v>85</v>
      </c>
      <c r="C15" s="12">
        <v>22</v>
      </c>
      <c r="D15" s="8">
        <v>10.84</v>
      </c>
      <c r="E15" s="12">
        <v>12</v>
      </c>
      <c r="F15" s="8">
        <v>16</v>
      </c>
      <c r="G15" s="12">
        <v>10</v>
      </c>
      <c r="H15" s="8">
        <v>7.94</v>
      </c>
      <c r="I15" s="12">
        <v>0</v>
      </c>
    </row>
    <row r="16" spans="2:9" ht="15" customHeight="1" x14ac:dyDescent="0.2">
      <c r="B16" t="s">
        <v>86</v>
      </c>
      <c r="C16" s="12">
        <v>13</v>
      </c>
      <c r="D16" s="8">
        <v>6.4</v>
      </c>
      <c r="E16" s="12">
        <v>6</v>
      </c>
      <c r="F16" s="8">
        <v>8</v>
      </c>
      <c r="G16" s="12">
        <v>7</v>
      </c>
      <c r="H16" s="8">
        <v>5.56</v>
      </c>
      <c r="I16" s="12">
        <v>0</v>
      </c>
    </row>
    <row r="17" spans="2:9" ht="15" customHeight="1" x14ac:dyDescent="0.2">
      <c r="B17" t="s">
        <v>87</v>
      </c>
      <c r="C17" s="12">
        <v>1</v>
      </c>
      <c r="D17" s="8">
        <v>0.49</v>
      </c>
      <c r="E17" s="12">
        <v>1</v>
      </c>
      <c r="F17" s="8">
        <v>1.33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88</v>
      </c>
      <c r="C18" s="12">
        <v>9</v>
      </c>
      <c r="D18" s="8">
        <v>4.43</v>
      </c>
      <c r="E18" s="12">
        <v>6</v>
      </c>
      <c r="F18" s="8">
        <v>8</v>
      </c>
      <c r="G18" s="12">
        <v>1</v>
      </c>
      <c r="H18" s="8">
        <v>0.79</v>
      </c>
      <c r="I18" s="12">
        <v>0</v>
      </c>
    </row>
    <row r="19" spans="2:9" ht="15" customHeight="1" x14ac:dyDescent="0.2">
      <c r="B19" t="s">
        <v>89</v>
      </c>
      <c r="C19" s="12">
        <v>13</v>
      </c>
      <c r="D19" s="8">
        <v>6.4</v>
      </c>
      <c r="E19" s="12">
        <v>7</v>
      </c>
      <c r="F19" s="8">
        <v>9.33</v>
      </c>
      <c r="G19" s="12">
        <v>6</v>
      </c>
      <c r="H19" s="8">
        <v>4.76</v>
      </c>
      <c r="I19" s="12">
        <v>0</v>
      </c>
    </row>
    <row r="20" spans="2:9" ht="15" customHeight="1" x14ac:dyDescent="0.2">
      <c r="B20" s="9" t="s">
        <v>285</v>
      </c>
      <c r="C20" s="12">
        <f>SUM(LTBL_40348[総数／事業所数])</f>
        <v>203</v>
      </c>
      <c r="E20" s="12">
        <f>SUBTOTAL(109,LTBL_40348[個人／事業所数])</f>
        <v>75</v>
      </c>
      <c r="G20" s="12">
        <f>SUBTOTAL(109,LTBL_40348[法人／事業所数])</f>
        <v>126</v>
      </c>
      <c r="I20" s="12">
        <f>SUBTOTAL(109,LTBL_40348[法人以外の団体／事業所数])</f>
        <v>0</v>
      </c>
    </row>
    <row r="21" spans="2:9" ht="15" customHeight="1" x14ac:dyDescent="0.2">
      <c r="E21" s="11">
        <f>LTBL_40348[[#Totals],[個人／事業所数]]/LTBL_40348[[#Totals],[総数／事業所数]]</f>
        <v>0.36945812807881773</v>
      </c>
      <c r="G21" s="11">
        <f>LTBL_40348[[#Totals],[法人／事業所数]]/LTBL_40348[[#Totals],[総数／事業所数]]</f>
        <v>0.62068965517241381</v>
      </c>
      <c r="I21" s="11">
        <f>LTBL_40348[[#Totals],[法人以外の団体／事業所数]]/LTBL_40348[[#Totals],[総数／事業所数]]</f>
        <v>0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112</v>
      </c>
      <c r="C24" s="12">
        <v>20</v>
      </c>
      <c r="D24" s="8">
        <v>9.85</v>
      </c>
      <c r="E24" s="12">
        <v>12</v>
      </c>
      <c r="F24" s="8">
        <v>16</v>
      </c>
      <c r="G24" s="12">
        <v>8</v>
      </c>
      <c r="H24" s="8">
        <v>6.35</v>
      </c>
      <c r="I24" s="12">
        <v>0</v>
      </c>
    </row>
    <row r="25" spans="2:9" ht="15" customHeight="1" x14ac:dyDescent="0.2">
      <c r="B25" t="s">
        <v>98</v>
      </c>
      <c r="C25" s="12">
        <v>17</v>
      </c>
      <c r="D25" s="8">
        <v>8.3699999999999992</v>
      </c>
      <c r="E25" s="12">
        <v>3</v>
      </c>
      <c r="F25" s="8">
        <v>4</v>
      </c>
      <c r="G25" s="12">
        <v>14</v>
      </c>
      <c r="H25" s="8">
        <v>11.11</v>
      </c>
      <c r="I25" s="12">
        <v>0</v>
      </c>
    </row>
    <row r="26" spans="2:9" ht="15" customHeight="1" x14ac:dyDescent="0.2">
      <c r="B26" t="s">
        <v>106</v>
      </c>
      <c r="C26" s="12">
        <v>14</v>
      </c>
      <c r="D26" s="8">
        <v>6.9</v>
      </c>
      <c r="E26" s="12">
        <v>5</v>
      </c>
      <c r="F26" s="8">
        <v>6.67</v>
      </c>
      <c r="G26" s="12">
        <v>9</v>
      </c>
      <c r="H26" s="8">
        <v>7.14</v>
      </c>
      <c r="I26" s="12">
        <v>0</v>
      </c>
    </row>
    <row r="27" spans="2:9" ht="15" customHeight="1" x14ac:dyDescent="0.2">
      <c r="B27" t="s">
        <v>107</v>
      </c>
      <c r="C27" s="12">
        <v>14</v>
      </c>
      <c r="D27" s="8">
        <v>6.9</v>
      </c>
      <c r="E27" s="12">
        <v>3</v>
      </c>
      <c r="F27" s="8">
        <v>4</v>
      </c>
      <c r="G27" s="12">
        <v>11</v>
      </c>
      <c r="H27" s="8">
        <v>8.73</v>
      </c>
      <c r="I27" s="12">
        <v>0</v>
      </c>
    </row>
    <row r="28" spans="2:9" ht="15" customHeight="1" x14ac:dyDescent="0.2">
      <c r="B28" t="s">
        <v>105</v>
      </c>
      <c r="C28" s="12">
        <v>12</v>
      </c>
      <c r="D28" s="8">
        <v>5.91</v>
      </c>
      <c r="E28" s="12">
        <v>10</v>
      </c>
      <c r="F28" s="8">
        <v>13.33</v>
      </c>
      <c r="G28" s="12">
        <v>2</v>
      </c>
      <c r="H28" s="8">
        <v>1.59</v>
      </c>
      <c r="I28" s="12">
        <v>0</v>
      </c>
    </row>
    <row r="29" spans="2:9" ht="15" customHeight="1" x14ac:dyDescent="0.2">
      <c r="B29" t="s">
        <v>99</v>
      </c>
      <c r="C29" s="12">
        <v>11</v>
      </c>
      <c r="D29" s="8">
        <v>5.42</v>
      </c>
      <c r="E29" s="12">
        <v>3</v>
      </c>
      <c r="F29" s="8">
        <v>4</v>
      </c>
      <c r="G29" s="12">
        <v>8</v>
      </c>
      <c r="H29" s="8">
        <v>6.35</v>
      </c>
      <c r="I29" s="12">
        <v>0</v>
      </c>
    </row>
    <row r="30" spans="2:9" ht="15" customHeight="1" x14ac:dyDescent="0.2">
      <c r="B30" t="s">
        <v>100</v>
      </c>
      <c r="C30" s="12">
        <v>10</v>
      </c>
      <c r="D30" s="8">
        <v>4.93</v>
      </c>
      <c r="E30" s="12">
        <v>5</v>
      </c>
      <c r="F30" s="8">
        <v>6.67</v>
      </c>
      <c r="G30" s="12">
        <v>5</v>
      </c>
      <c r="H30" s="8">
        <v>3.97</v>
      </c>
      <c r="I30" s="12">
        <v>0</v>
      </c>
    </row>
    <row r="31" spans="2:9" ht="15" customHeight="1" x14ac:dyDescent="0.2">
      <c r="B31" t="s">
        <v>101</v>
      </c>
      <c r="C31" s="12">
        <v>6</v>
      </c>
      <c r="D31" s="8">
        <v>2.96</v>
      </c>
      <c r="E31" s="12">
        <v>0</v>
      </c>
      <c r="F31" s="8">
        <v>0</v>
      </c>
      <c r="G31" s="12">
        <v>6</v>
      </c>
      <c r="H31" s="8">
        <v>4.76</v>
      </c>
      <c r="I31" s="12">
        <v>0</v>
      </c>
    </row>
    <row r="32" spans="2:9" ht="15" customHeight="1" x14ac:dyDescent="0.2">
      <c r="B32" t="s">
        <v>104</v>
      </c>
      <c r="C32" s="12">
        <v>6</v>
      </c>
      <c r="D32" s="8">
        <v>2.96</v>
      </c>
      <c r="E32" s="12">
        <v>1</v>
      </c>
      <c r="F32" s="8">
        <v>1.33</v>
      </c>
      <c r="G32" s="12">
        <v>5</v>
      </c>
      <c r="H32" s="8">
        <v>3.97</v>
      </c>
      <c r="I32" s="12">
        <v>0</v>
      </c>
    </row>
    <row r="33" spans="2:9" ht="15" customHeight="1" x14ac:dyDescent="0.2">
      <c r="B33" t="s">
        <v>113</v>
      </c>
      <c r="C33" s="12">
        <v>6</v>
      </c>
      <c r="D33" s="8">
        <v>2.96</v>
      </c>
      <c r="E33" s="12">
        <v>4</v>
      </c>
      <c r="F33" s="8">
        <v>5.33</v>
      </c>
      <c r="G33" s="12">
        <v>2</v>
      </c>
      <c r="H33" s="8">
        <v>1.59</v>
      </c>
      <c r="I33" s="12">
        <v>0</v>
      </c>
    </row>
    <row r="34" spans="2:9" ht="15" customHeight="1" x14ac:dyDescent="0.2">
      <c r="B34" t="s">
        <v>115</v>
      </c>
      <c r="C34" s="12">
        <v>6</v>
      </c>
      <c r="D34" s="8">
        <v>2.96</v>
      </c>
      <c r="E34" s="12">
        <v>6</v>
      </c>
      <c r="F34" s="8">
        <v>8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123</v>
      </c>
      <c r="C35" s="12">
        <v>6</v>
      </c>
      <c r="D35" s="8">
        <v>2.96</v>
      </c>
      <c r="E35" s="12">
        <v>5</v>
      </c>
      <c r="F35" s="8">
        <v>6.67</v>
      </c>
      <c r="G35" s="12">
        <v>1</v>
      </c>
      <c r="H35" s="8">
        <v>0.79</v>
      </c>
      <c r="I35" s="12">
        <v>0</v>
      </c>
    </row>
    <row r="36" spans="2:9" ht="15" customHeight="1" x14ac:dyDescent="0.2">
      <c r="B36" t="s">
        <v>103</v>
      </c>
      <c r="C36" s="12">
        <v>5</v>
      </c>
      <c r="D36" s="8">
        <v>2.46</v>
      </c>
      <c r="E36" s="12">
        <v>0</v>
      </c>
      <c r="F36" s="8">
        <v>0</v>
      </c>
      <c r="G36" s="12">
        <v>5</v>
      </c>
      <c r="H36" s="8">
        <v>3.97</v>
      </c>
      <c r="I36" s="12">
        <v>0</v>
      </c>
    </row>
    <row r="37" spans="2:9" ht="15" customHeight="1" x14ac:dyDescent="0.2">
      <c r="B37" t="s">
        <v>109</v>
      </c>
      <c r="C37" s="12">
        <v>5</v>
      </c>
      <c r="D37" s="8">
        <v>2.46</v>
      </c>
      <c r="E37" s="12">
        <v>1</v>
      </c>
      <c r="F37" s="8">
        <v>1.33</v>
      </c>
      <c r="G37" s="12">
        <v>4</v>
      </c>
      <c r="H37" s="8">
        <v>3.17</v>
      </c>
      <c r="I37" s="12">
        <v>0</v>
      </c>
    </row>
    <row r="38" spans="2:9" ht="15" customHeight="1" x14ac:dyDescent="0.2">
      <c r="B38" t="s">
        <v>130</v>
      </c>
      <c r="C38" s="12">
        <v>4</v>
      </c>
      <c r="D38" s="8">
        <v>1.97</v>
      </c>
      <c r="E38" s="12">
        <v>1</v>
      </c>
      <c r="F38" s="8">
        <v>1.33</v>
      </c>
      <c r="G38" s="12">
        <v>3</v>
      </c>
      <c r="H38" s="8">
        <v>2.38</v>
      </c>
      <c r="I38" s="12">
        <v>0</v>
      </c>
    </row>
    <row r="39" spans="2:9" ht="15" customHeight="1" x14ac:dyDescent="0.2">
      <c r="B39" t="s">
        <v>137</v>
      </c>
      <c r="C39" s="12">
        <v>4</v>
      </c>
      <c r="D39" s="8">
        <v>1.97</v>
      </c>
      <c r="E39" s="12">
        <v>1</v>
      </c>
      <c r="F39" s="8">
        <v>1.33</v>
      </c>
      <c r="G39" s="12">
        <v>3</v>
      </c>
      <c r="H39" s="8">
        <v>2.38</v>
      </c>
      <c r="I39" s="12">
        <v>0</v>
      </c>
    </row>
    <row r="40" spans="2:9" ht="15" customHeight="1" x14ac:dyDescent="0.2">
      <c r="B40" t="s">
        <v>102</v>
      </c>
      <c r="C40" s="12">
        <v>4</v>
      </c>
      <c r="D40" s="8">
        <v>1.97</v>
      </c>
      <c r="E40" s="12">
        <v>0</v>
      </c>
      <c r="F40" s="8">
        <v>0</v>
      </c>
      <c r="G40" s="12">
        <v>4</v>
      </c>
      <c r="H40" s="8">
        <v>3.17</v>
      </c>
      <c r="I40" s="12">
        <v>0</v>
      </c>
    </row>
    <row r="41" spans="2:9" ht="15" customHeight="1" x14ac:dyDescent="0.2">
      <c r="B41" t="s">
        <v>140</v>
      </c>
      <c r="C41" s="12">
        <v>4</v>
      </c>
      <c r="D41" s="8">
        <v>1.97</v>
      </c>
      <c r="E41" s="12">
        <v>0</v>
      </c>
      <c r="F41" s="8">
        <v>0</v>
      </c>
      <c r="G41" s="12">
        <v>4</v>
      </c>
      <c r="H41" s="8">
        <v>3.17</v>
      </c>
      <c r="I41" s="12">
        <v>0</v>
      </c>
    </row>
    <row r="42" spans="2:9" ht="15" customHeight="1" x14ac:dyDescent="0.2">
      <c r="B42" t="s">
        <v>118</v>
      </c>
      <c r="C42" s="12">
        <v>4</v>
      </c>
      <c r="D42" s="8">
        <v>1.97</v>
      </c>
      <c r="E42" s="12">
        <v>2</v>
      </c>
      <c r="F42" s="8">
        <v>2.67</v>
      </c>
      <c r="G42" s="12">
        <v>2</v>
      </c>
      <c r="H42" s="8">
        <v>1.59</v>
      </c>
      <c r="I42" s="12">
        <v>0</v>
      </c>
    </row>
    <row r="43" spans="2:9" ht="15" customHeight="1" x14ac:dyDescent="0.2">
      <c r="B43" t="s">
        <v>119</v>
      </c>
      <c r="C43" s="12">
        <v>3</v>
      </c>
      <c r="D43" s="8">
        <v>1.48</v>
      </c>
      <c r="E43" s="12">
        <v>1</v>
      </c>
      <c r="F43" s="8">
        <v>1.33</v>
      </c>
      <c r="G43" s="12">
        <v>2</v>
      </c>
      <c r="H43" s="8">
        <v>1.59</v>
      </c>
      <c r="I43" s="12">
        <v>0</v>
      </c>
    </row>
    <row r="44" spans="2:9" ht="15" customHeight="1" x14ac:dyDescent="0.2">
      <c r="B44" t="s">
        <v>111</v>
      </c>
      <c r="C44" s="12">
        <v>3</v>
      </c>
      <c r="D44" s="8">
        <v>1.48</v>
      </c>
      <c r="E44" s="12">
        <v>1</v>
      </c>
      <c r="F44" s="8">
        <v>1.33</v>
      </c>
      <c r="G44" s="12">
        <v>2</v>
      </c>
      <c r="H44" s="8">
        <v>1.59</v>
      </c>
      <c r="I44" s="12">
        <v>0</v>
      </c>
    </row>
    <row r="45" spans="2:9" ht="15" customHeight="1" x14ac:dyDescent="0.2">
      <c r="B45" t="s">
        <v>127</v>
      </c>
      <c r="C45" s="12">
        <v>3</v>
      </c>
      <c r="D45" s="8">
        <v>1.48</v>
      </c>
      <c r="E45" s="12">
        <v>0</v>
      </c>
      <c r="F45" s="8">
        <v>0</v>
      </c>
      <c r="G45" s="12">
        <v>3</v>
      </c>
      <c r="H45" s="8">
        <v>2.38</v>
      </c>
      <c r="I45" s="12">
        <v>0</v>
      </c>
    </row>
    <row r="46" spans="2:9" ht="15" customHeight="1" x14ac:dyDescent="0.2">
      <c r="B46" t="s">
        <v>116</v>
      </c>
      <c r="C46" s="12">
        <v>3</v>
      </c>
      <c r="D46" s="8">
        <v>1.48</v>
      </c>
      <c r="E46" s="12">
        <v>0</v>
      </c>
      <c r="F46" s="8">
        <v>0</v>
      </c>
      <c r="G46" s="12">
        <v>1</v>
      </c>
      <c r="H46" s="8">
        <v>0.79</v>
      </c>
      <c r="I46" s="12">
        <v>0</v>
      </c>
    </row>
    <row r="47" spans="2:9" ht="15" customHeight="1" x14ac:dyDescent="0.2">
      <c r="B47" t="s">
        <v>117</v>
      </c>
      <c r="C47" s="12">
        <v>3</v>
      </c>
      <c r="D47" s="8">
        <v>1.48</v>
      </c>
      <c r="E47" s="12">
        <v>0</v>
      </c>
      <c r="F47" s="8">
        <v>0</v>
      </c>
      <c r="G47" s="12">
        <v>3</v>
      </c>
      <c r="H47" s="8">
        <v>2.38</v>
      </c>
      <c r="I47" s="12">
        <v>0</v>
      </c>
    </row>
    <row r="50" spans="2:9" ht="33" customHeight="1" x14ac:dyDescent="0.2">
      <c r="B50" t="s">
        <v>287</v>
      </c>
      <c r="C50" s="10" t="s">
        <v>91</v>
      </c>
      <c r="D50" s="10" t="s">
        <v>92</v>
      </c>
      <c r="E50" s="10" t="s">
        <v>93</v>
      </c>
      <c r="F50" s="10" t="s">
        <v>94</v>
      </c>
      <c r="G50" s="10" t="s">
        <v>95</v>
      </c>
      <c r="H50" s="10" t="s">
        <v>96</v>
      </c>
      <c r="I50" s="10" t="s">
        <v>97</v>
      </c>
    </row>
    <row r="51" spans="2:9" ht="15" customHeight="1" x14ac:dyDescent="0.2">
      <c r="B51" t="s">
        <v>159</v>
      </c>
      <c r="C51" s="12">
        <v>12</v>
      </c>
      <c r="D51" s="8">
        <v>5.91</v>
      </c>
      <c r="E51" s="12">
        <v>5</v>
      </c>
      <c r="F51" s="8">
        <v>6.67</v>
      </c>
      <c r="G51" s="12">
        <v>7</v>
      </c>
      <c r="H51" s="8">
        <v>5.56</v>
      </c>
      <c r="I51" s="12">
        <v>0</v>
      </c>
    </row>
    <row r="52" spans="2:9" ht="15" customHeight="1" x14ac:dyDescent="0.2">
      <c r="B52" t="s">
        <v>154</v>
      </c>
      <c r="C52" s="12">
        <v>7</v>
      </c>
      <c r="D52" s="8">
        <v>3.45</v>
      </c>
      <c r="E52" s="12">
        <v>0</v>
      </c>
      <c r="F52" s="8">
        <v>0</v>
      </c>
      <c r="G52" s="12">
        <v>7</v>
      </c>
      <c r="H52" s="8">
        <v>5.56</v>
      </c>
      <c r="I52" s="12">
        <v>0</v>
      </c>
    </row>
    <row r="53" spans="2:9" ht="15" customHeight="1" x14ac:dyDescent="0.2">
      <c r="B53" t="s">
        <v>178</v>
      </c>
      <c r="C53" s="12">
        <v>6</v>
      </c>
      <c r="D53" s="8">
        <v>2.96</v>
      </c>
      <c r="E53" s="12">
        <v>4</v>
      </c>
      <c r="F53" s="8">
        <v>5.33</v>
      </c>
      <c r="G53" s="12">
        <v>2</v>
      </c>
      <c r="H53" s="8">
        <v>1.59</v>
      </c>
      <c r="I53" s="12">
        <v>0</v>
      </c>
    </row>
    <row r="54" spans="2:9" ht="15" customHeight="1" x14ac:dyDescent="0.2">
      <c r="B54" t="s">
        <v>166</v>
      </c>
      <c r="C54" s="12">
        <v>6</v>
      </c>
      <c r="D54" s="8">
        <v>2.96</v>
      </c>
      <c r="E54" s="12">
        <v>3</v>
      </c>
      <c r="F54" s="8">
        <v>4</v>
      </c>
      <c r="G54" s="12">
        <v>3</v>
      </c>
      <c r="H54" s="8">
        <v>2.38</v>
      </c>
      <c r="I54" s="12">
        <v>0</v>
      </c>
    </row>
    <row r="55" spans="2:9" ht="15" customHeight="1" x14ac:dyDescent="0.2">
      <c r="B55" t="s">
        <v>173</v>
      </c>
      <c r="C55" s="12">
        <v>6</v>
      </c>
      <c r="D55" s="8">
        <v>2.96</v>
      </c>
      <c r="E55" s="12">
        <v>5</v>
      </c>
      <c r="F55" s="8">
        <v>6.67</v>
      </c>
      <c r="G55" s="12">
        <v>1</v>
      </c>
      <c r="H55" s="8">
        <v>0.79</v>
      </c>
      <c r="I55" s="12">
        <v>0</v>
      </c>
    </row>
    <row r="56" spans="2:9" ht="15" customHeight="1" x14ac:dyDescent="0.2">
      <c r="B56" t="s">
        <v>155</v>
      </c>
      <c r="C56" s="12">
        <v>5</v>
      </c>
      <c r="D56" s="8">
        <v>2.46</v>
      </c>
      <c r="E56" s="12">
        <v>2</v>
      </c>
      <c r="F56" s="8">
        <v>2.67</v>
      </c>
      <c r="G56" s="12">
        <v>3</v>
      </c>
      <c r="H56" s="8">
        <v>2.38</v>
      </c>
      <c r="I56" s="12">
        <v>0</v>
      </c>
    </row>
    <row r="57" spans="2:9" ht="15" customHeight="1" x14ac:dyDescent="0.2">
      <c r="B57" t="s">
        <v>177</v>
      </c>
      <c r="C57" s="12">
        <v>5</v>
      </c>
      <c r="D57" s="8">
        <v>2.46</v>
      </c>
      <c r="E57" s="12">
        <v>5</v>
      </c>
      <c r="F57" s="8">
        <v>6.67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233</v>
      </c>
      <c r="C58" s="12">
        <v>4</v>
      </c>
      <c r="D58" s="8">
        <v>1.97</v>
      </c>
      <c r="E58" s="12">
        <v>1</v>
      </c>
      <c r="F58" s="8">
        <v>1.33</v>
      </c>
      <c r="G58" s="12">
        <v>3</v>
      </c>
      <c r="H58" s="8">
        <v>2.38</v>
      </c>
      <c r="I58" s="12">
        <v>0</v>
      </c>
    </row>
    <row r="59" spans="2:9" ht="15" customHeight="1" x14ac:dyDescent="0.2">
      <c r="B59" t="s">
        <v>174</v>
      </c>
      <c r="C59" s="12">
        <v>4</v>
      </c>
      <c r="D59" s="8">
        <v>1.97</v>
      </c>
      <c r="E59" s="12">
        <v>2</v>
      </c>
      <c r="F59" s="8">
        <v>2.67</v>
      </c>
      <c r="G59" s="12">
        <v>2</v>
      </c>
      <c r="H59" s="8">
        <v>1.59</v>
      </c>
      <c r="I59" s="12">
        <v>0</v>
      </c>
    </row>
    <row r="60" spans="2:9" ht="15" customHeight="1" x14ac:dyDescent="0.2">
      <c r="B60" t="s">
        <v>185</v>
      </c>
      <c r="C60" s="12">
        <v>4</v>
      </c>
      <c r="D60" s="8">
        <v>1.97</v>
      </c>
      <c r="E60" s="12">
        <v>0</v>
      </c>
      <c r="F60" s="8">
        <v>0</v>
      </c>
      <c r="G60" s="12">
        <v>4</v>
      </c>
      <c r="H60" s="8">
        <v>3.17</v>
      </c>
      <c r="I60" s="12">
        <v>0</v>
      </c>
    </row>
    <row r="61" spans="2:9" ht="15" customHeight="1" x14ac:dyDescent="0.2">
      <c r="B61" t="s">
        <v>243</v>
      </c>
      <c r="C61" s="12">
        <v>4</v>
      </c>
      <c r="D61" s="8">
        <v>1.97</v>
      </c>
      <c r="E61" s="12">
        <v>0</v>
      </c>
      <c r="F61" s="8">
        <v>0</v>
      </c>
      <c r="G61" s="12">
        <v>4</v>
      </c>
      <c r="H61" s="8">
        <v>3.17</v>
      </c>
      <c r="I61" s="12">
        <v>0</v>
      </c>
    </row>
    <row r="62" spans="2:9" ht="15" customHeight="1" x14ac:dyDescent="0.2">
      <c r="B62" t="s">
        <v>172</v>
      </c>
      <c r="C62" s="12">
        <v>4</v>
      </c>
      <c r="D62" s="8">
        <v>1.97</v>
      </c>
      <c r="E62" s="12">
        <v>4</v>
      </c>
      <c r="F62" s="8">
        <v>5.33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156</v>
      </c>
      <c r="C63" s="12">
        <v>3</v>
      </c>
      <c r="D63" s="8">
        <v>1.48</v>
      </c>
      <c r="E63" s="12">
        <v>2</v>
      </c>
      <c r="F63" s="8">
        <v>2.67</v>
      </c>
      <c r="G63" s="12">
        <v>1</v>
      </c>
      <c r="H63" s="8">
        <v>0.79</v>
      </c>
      <c r="I63" s="12">
        <v>0</v>
      </c>
    </row>
    <row r="64" spans="2:9" ht="15" customHeight="1" x14ac:dyDescent="0.2">
      <c r="B64" t="s">
        <v>240</v>
      </c>
      <c r="C64" s="12">
        <v>3</v>
      </c>
      <c r="D64" s="8">
        <v>1.48</v>
      </c>
      <c r="E64" s="12">
        <v>0</v>
      </c>
      <c r="F64" s="8">
        <v>0</v>
      </c>
      <c r="G64" s="12">
        <v>3</v>
      </c>
      <c r="H64" s="8">
        <v>2.38</v>
      </c>
      <c r="I64" s="12">
        <v>0</v>
      </c>
    </row>
    <row r="65" spans="2:9" ht="15" customHeight="1" x14ac:dyDescent="0.2">
      <c r="B65" t="s">
        <v>158</v>
      </c>
      <c r="C65" s="12">
        <v>3</v>
      </c>
      <c r="D65" s="8">
        <v>1.48</v>
      </c>
      <c r="E65" s="12">
        <v>3</v>
      </c>
      <c r="F65" s="8">
        <v>4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222</v>
      </c>
      <c r="C66" s="12">
        <v>3</v>
      </c>
      <c r="D66" s="8">
        <v>1.48</v>
      </c>
      <c r="E66" s="12">
        <v>2</v>
      </c>
      <c r="F66" s="8">
        <v>2.67</v>
      </c>
      <c r="G66" s="12">
        <v>1</v>
      </c>
      <c r="H66" s="8">
        <v>0.79</v>
      </c>
      <c r="I66" s="12">
        <v>0</v>
      </c>
    </row>
    <row r="67" spans="2:9" ht="15" customHeight="1" x14ac:dyDescent="0.2">
      <c r="B67" t="s">
        <v>246</v>
      </c>
      <c r="C67" s="12">
        <v>3</v>
      </c>
      <c r="D67" s="8">
        <v>1.48</v>
      </c>
      <c r="E67" s="12">
        <v>0</v>
      </c>
      <c r="F67" s="8">
        <v>0</v>
      </c>
      <c r="G67" s="12">
        <v>3</v>
      </c>
      <c r="H67" s="8">
        <v>2.38</v>
      </c>
      <c r="I67" s="12">
        <v>0</v>
      </c>
    </row>
    <row r="68" spans="2:9" ht="15" customHeight="1" x14ac:dyDescent="0.2">
      <c r="B68" t="s">
        <v>232</v>
      </c>
      <c r="C68" s="12">
        <v>2</v>
      </c>
      <c r="D68" s="8">
        <v>0.99</v>
      </c>
      <c r="E68" s="12">
        <v>1</v>
      </c>
      <c r="F68" s="8">
        <v>1.33</v>
      </c>
      <c r="G68" s="12">
        <v>1</v>
      </c>
      <c r="H68" s="8">
        <v>0.79</v>
      </c>
      <c r="I68" s="12">
        <v>0</v>
      </c>
    </row>
    <row r="69" spans="2:9" ht="15" customHeight="1" x14ac:dyDescent="0.2">
      <c r="B69" t="s">
        <v>186</v>
      </c>
      <c r="C69" s="12">
        <v>2</v>
      </c>
      <c r="D69" s="8">
        <v>0.99</v>
      </c>
      <c r="E69" s="12">
        <v>0</v>
      </c>
      <c r="F69" s="8">
        <v>0</v>
      </c>
      <c r="G69" s="12">
        <v>2</v>
      </c>
      <c r="H69" s="8">
        <v>1.59</v>
      </c>
      <c r="I69" s="12">
        <v>0</v>
      </c>
    </row>
    <row r="70" spans="2:9" ht="15" customHeight="1" x14ac:dyDescent="0.2">
      <c r="B70" t="s">
        <v>203</v>
      </c>
      <c r="C70" s="12">
        <v>2</v>
      </c>
      <c r="D70" s="8">
        <v>0.99</v>
      </c>
      <c r="E70" s="12">
        <v>1</v>
      </c>
      <c r="F70" s="8">
        <v>1.33</v>
      </c>
      <c r="G70" s="12">
        <v>1</v>
      </c>
      <c r="H70" s="8">
        <v>0.79</v>
      </c>
      <c r="I70" s="12">
        <v>0</v>
      </c>
    </row>
    <row r="71" spans="2:9" ht="15" customHeight="1" x14ac:dyDescent="0.2">
      <c r="B71" t="s">
        <v>221</v>
      </c>
      <c r="C71" s="12">
        <v>2</v>
      </c>
      <c r="D71" s="8">
        <v>0.99</v>
      </c>
      <c r="E71" s="12">
        <v>0</v>
      </c>
      <c r="F71" s="8">
        <v>0</v>
      </c>
      <c r="G71" s="12">
        <v>2</v>
      </c>
      <c r="H71" s="8">
        <v>1.59</v>
      </c>
      <c r="I71" s="12">
        <v>0</v>
      </c>
    </row>
    <row r="72" spans="2:9" ht="15" customHeight="1" x14ac:dyDescent="0.2">
      <c r="B72" t="s">
        <v>234</v>
      </c>
      <c r="C72" s="12">
        <v>2</v>
      </c>
      <c r="D72" s="8">
        <v>0.99</v>
      </c>
      <c r="E72" s="12">
        <v>0</v>
      </c>
      <c r="F72" s="8">
        <v>0</v>
      </c>
      <c r="G72" s="12">
        <v>2</v>
      </c>
      <c r="H72" s="8">
        <v>1.59</v>
      </c>
      <c r="I72" s="12">
        <v>0</v>
      </c>
    </row>
    <row r="73" spans="2:9" ht="15" customHeight="1" x14ac:dyDescent="0.2">
      <c r="B73" t="s">
        <v>235</v>
      </c>
      <c r="C73" s="12">
        <v>2</v>
      </c>
      <c r="D73" s="8">
        <v>0.99</v>
      </c>
      <c r="E73" s="12">
        <v>2</v>
      </c>
      <c r="F73" s="8">
        <v>2.67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180</v>
      </c>
      <c r="C74" s="12">
        <v>2</v>
      </c>
      <c r="D74" s="8">
        <v>0.99</v>
      </c>
      <c r="E74" s="12">
        <v>1</v>
      </c>
      <c r="F74" s="8">
        <v>1.33</v>
      </c>
      <c r="G74" s="12">
        <v>1</v>
      </c>
      <c r="H74" s="8">
        <v>0.79</v>
      </c>
      <c r="I74" s="12">
        <v>0</v>
      </c>
    </row>
    <row r="75" spans="2:9" ht="15" customHeight="1" x14ac:dyDescent="0.2">
      <c r="B75" t="s">
        <v>229</v>
      </c>
      <c r="C75" s="12">
        <v>2</v>
      </c>
      <c r="D75" s="8">
        <v>0.99</v>
      </c>
      <c r="E75" s="12">
        <v>1</v>
      </c>
      <c r="F75" s="8">
        <v>1.33</v>
      </c>
      <c r="G75" s="12">
        <v>1</v>
      </c>
      <c r="H75" s="8">
        <v>0.79</v>
      </c>
      <c r="I75" s="12">
        <v>0</v>
      </c>
    </row>
    <row r="76" spans="2:9" ht="15" customHeight="1" x14ac:dyDescent="0.2">
      <c r="B76" t="s">
        <v>224</v>
      </c>
      <c r="C76" s="12">
        <v>2</v>
      </c>
      <c r="D76" s="8">
        <v>0.99</v>
      </c>
      <c r="E76" s="12">
        <v>0</v>
      </c>
      <c r="F76" s="8">
        <v>0</v>
      </c>
      <c r="G76" s="12">
        <v>2</v>
      </c>
      <c r="H76" s="8">
        <v>1.59</v>
      </c>
      <c r="I76" s="12">
        <v>0</v>
      </c>
    </row>
    <row r="77" spans="2:9" ht="15" customHeight="1" x14ac:dyDescent="0.2">
      <c r="B77" t="s">
        <v>236</v>
      </c>
      <c r="C77" s="12">
        <v>2</v>
      </c>
      <c r="D77" s="8">
        <v>0.99</v>
      </c>
      <c r="E77" s="12">
        <v>1</v>
      </c>
      <c r="F77" s="8">
        <v>1.33</v>
      </c>
      <c r="G77" s="12">
        <v>1</v>
      </c>
      <c r="H77" s="8">
        <v>0.79</v>
      </c>
      <c r="I77" s="12">
        <v>0</v>
      </c>
    </row>
    <row r="78" spans="2:9" ht="15" customHeight="1" x14ac:dyDescent="0.2">
      <c r="B78" t="s">
        <v>237</v>
      </c>
      <c r="C78" s="12">
        <v>2</v>
      </c>
      <c r="D78" s="8">
        <v>0.99</v>
      </c>
      <c r="E78" s="12">
        <v>0</v>
      </c>
      <c r="F78" s="8">
        <v>0</v>
      </c>
      <c r="G78" s="12">
        <v>2</v>
      </c>
      <c r="H78" s="8">
        <v>1.59</v>
      </c>
      <c r="I78" s="12">
        <v>0</v>
      </c>
    </row>
    <row r="79" spans="2:9" ht="15" customHeight="1" x14ac:dyDescent="0.2">
      <c r="B79" t="s">
        <v>238</v>
      </c>
      <c r="C79" s="12">
        <v>2</v>
      </c>
      <c r="D79" s="8">
        <v>0.99</v>
      </c>
      <c r="E79" s="12">
        <v>0</v>
      </c>
      <c r="F79" s="8">
        <v>0</v>
      </c>
      <c r="G79" s="12">
        <v>2</v>
      </c>
      <c r="H79" s="8">
        <v>1.59</v>
      </c>
      <c r="I79" s="12">
        <v>0</v>
      </c>
    </row>
    <row r="80" spans="2:9" ht="15" customHeight="1" x14ac:dyDescent="0.2">
      <c r="B80" t="s">
        <v>239</v>
      </c>
      <c r="C80" s="12">
        <v>2</v>
      </c>
      <c r="D80" s="8">
        <v>0.99</v>
      </c>
      <c r="E80" s="12">
        <v>0</v>
      </c>
      <c r="F80" s="8">
        <v>0</v>
      </c>
      <c r="G80" s="12">
        <v>2</v>
      </c>
      <c r="H80" s="8">
        <v>1.59</v>
      </c>
      <c r="I80" s="12">
        <v>0</v>
      </c>
    </row>
    <row r="81" spans="2:9" ht="15" customHeight="1" x14ac:dyDescent="0.2">
      <c r="B81" t="s">
        <v>194</v>
      </c>
      <c r="C81" s="12">
        <v>2</v>
      </c>
      <c r="D81" s="8">
        <v>0.99</v>
      </c>
      <c r="E81" s="12">
        <v>0</v>
      </c>
      <c r="F81" s="8">
        <v>0</v>
      </c>
      <c r="G81" s="12">
        <v>2</v>
      </c>
      <c r="H81" s="8">
        <v>1.59</v>
      </c>
      <c r="I81" s="12">
        <v>0</v>
      </c>
    </row>
    <row r="82" spans="2:9" ht="15" customHeight="1" x14ac:dyDescent="0.2">
      <c r="B82" t="s">
        <v>184</v>
      </c>
      <c r="C82" s="12">
        <v>2</v>
      </c>
      <c r="D82" s="8">
        <v>0.99</v>
      </c>
      <c r="E82" s="12">
        <v>0</v>
      </c>
      <c r="F82" s="8">
        <v>0</v>
      </c>
      <c r="G82" s="12">
        <v>2</v>
      </c>
      <c r="H82" s="8">
        <v>1.59</v>
      </c>
      <c r="I82" s="12">
        <v>0</v>
      </c>
    </row>
    <row r="83" spans="2:9" ht="15" customHeight="1" x14ac:dyDescent="0.2">
      <c r="B83" t="s">
        <v>157</v>
      </c>
      <c r="C83" s="12">
        <v>2</v>
      </c>
      <c r="D83" s="8">
        <v>0.99</v>
      </c>
      <c r="E83" s="12">
        <v>0</v>
      </c>
      <c r="F83" s="8">
        <v>0</v>
      </c>
      <c r="G83" s="12">
        <v>2</v>
      </c>
      <c r="H83" s="8">
        <v>1.59</v>
      </c>
      <c r="I83" s="12">
        <v>0</v>
      </c>
    </row>
    <row r="84" spans="2:9" ht="15" customHeight="1" x14ac:dyDescent="0.2">
      <c r="B84" t="s">
        <v>241</v>
      </c>
      <c r="C84" s="12">
        <v>2</v>
      </c>
      <c r="D84" s="8">
        <v>0.99</v>
      </c>
      <c r="E84" s="12">
        <v>1</v>
      </c>
      <c r="F84" s="8">
        <v>1.33</v>
      </c>
      <c r="G84" s="12">
        <v>1</v>
      </c>
      <c r="H84" s="8">
        <v>0.79</v>
      </c>
      <c r="I84" s="12">
        <v>0</v>
      </c>
    </row>
    <row r="85" spans="2:9" ht="15" customHeight="1" x14ac:dyDescent="0.2">
      <c r="B85" t="s">
        <v>208</v>
      </c>
      <c r="C85" s="12">
        <v>2</v>
      </c>
      <c r="D85" s="8">
        <v>0.99</v>
      </c>
      <c r="E85" s="12">
        <v>0</v>
      </c>
      <c r="F85" s="8">
        <v>0</v>
      </c>
      <c r="G85" s="12">
        <v>2</v>
      </c>
      <c r="H85" s="8">
        <v>1.59</v>
      </c>
      <c r="I85" s="12">
        <v>0</v>
      </c>
    </row>
    <row r="86" spans="2:9" ht="15" customHeight="1" x14ac:dyDescent="0.2">
      <c r="B86" t="s">
        <v>212</v>
      </c>
      <c r="C86" s="12">
        <v>2</v>
      </c>
      <c r="D86" s="8">
        <v>0.99</v>
      </c>
      <c r="E86" s="12">
        <v>1</v>
      </c>
      <c r="F86" s="8">
        <v>1.33</v>
      </c>
      <c r="G86" s="12">
        <v>1</v>
      </c>
      <c r="H86" s="8">
        <v>0.79</v>
      </c>
      <c r="I86" s="12">
        <v>0</v>
      </c>
    </row>
    <row r="87" spans="2:9" ht="15" customHeight="1" x14ac:dyDescent="0.2">
      <c r="B87" t="s">
        <v>160</v>
      </c>
      <c r="C87" s="12">
        <v>2</v>
      </c>
      <c r="D87" s="8">
        <v>0.99</v>
      </c>
      <c r="E87" s="12">
        <v>1</v>
      </c>
      <c r="F87" s="8">
        <v>1.33</v>
      </c>
      <c r="G87" s="12">
        <v>1</v>
      </c>
      <c r="H87" s="8">
        <v>0.79</v>
      </c>
      <c r="I87" s="12">
        <v>0</v>
      </c>
    </row>
    <row r="88" spans="2:9" ht="15" customHeight="1" x14ac:dyDescent="0.2">
      <c r="B88" t="s">
        <v>242</v>
      </c>
      <c r="C88" s="12">
        <v>2</v>
      </c>
      <c r="D88" s="8">
        <v>0.99</v>
      </c>
      <c r="E88" s="12">
        <v>0</v>
      </c>
      <c r="F88" s="8">
        <v>0</v>
      </c>
      <c r="G88" s="12">
        <v>2</v>
      </c>
      <c r="H88" s="8">
        <v>1.59</v>
      </c>
      <c r="I88" s="12">
        <v>0</v>
      </c>
    </row>
    <row r="89" spans="2:9" ht="15" customHeight="1" x14ac:dyDescent="0.2">
      <c r="B89" t="s">
        <v>161</v>
      </c>
      <c r="C89" s="12">
        <v>2</v>
      </c>
      <c r="D89" s="8">
        <v>0.99</v>
      </c>
      <c r="E89" s="12">
        <v>0</v>
      </c>
      <c r="F89" s="8">
        <v>0</v>
      </c>
      <c r="G89" s="12">
        <v>2</v>
      </c>
      <c r="H89" s="8">
        <v>1.59</v>
      </c>
      <c r="I89" s="12">
        <v>0</v>
      </c>
    </row>
    <row r="90" spans="2:9" ht="15" customHeight="1" x14ac:dyDescent="0.2">
      <c r="B90" t="s">
        <v>163</v>
      </c>
      <c r="C90" s="12">
        <v>2</v>
      </c>
      <c r="D90" s="8">
        <v>0.99</v>
      </c>
      <c r="E90" s="12">
        <v>0</v>
      </c>
      <c r="F90" s="8">
        <v>0</v>
      </c>
      <c r="G90" s="12">
        <v>2</v>
      </c>
      <c r="H90" s="8">
        <v>1.59</v>
      </c>
      <c r="I90" s="12">
        <v>0</v>
      </c>
    </row>
    <row r="91" spans="2:9" ht="15" customHeight="1" x14ac:dyDescent="0.2">
      <c r="B91" t="s">
        <v>164</v>
      </c>
      <c r="C91" s="12">
        <v>2</v>
      </c>
      <c r="D91" s="8">
        <v>0.99</v>
      </c>
      <c r="E91" s="12">
        <v>1</v>
      </c>
      <c r="F91" s="8">
        <v>1.33</v>
      </c>
      <c r="G91" s="12">
        <v>1</v>
      </c>
      <c r="H91" s="8">
        <v>0.79</v>
      </c>
      <c r="I91" s="12">
        <v>0</v>
      </c>
    </row>
    <row r="92" spans="2:9" ht="15" customHeight="1" x14ac:dyDescent="0.2">
      <c r="B92" t="s">
        <v>244</v>
      </c>
      <c r="C92" s="12">
        <v>2</v>
      </c>
      <c r="D92" s="8">
        <v>0.99</v>
      </c>
      <c r="E92" s="12">
        <v>0</v>
      </c>
      <c r="F92" s="8">
        <v>0</v>
      </c>
      <c r="G92" s="12">
        <v>2</v>
      </c>
      <c r="H92" s="8">
        <v>1.59</v>
      </c>
      <c r="I92" s="12">
        <v>0</v>
      </c>
    </row>
    <row r="93" spans="2:9" ht="15" customHeight="1" x14ac:dyDescent="0.2">
      <c r="B93" t="s">
        <v>231</v>
      </c>
      <c r="C93" s="12">
        <v>2</v>
      </c>
      <c r="D93" s="8">
        <v>0.99</v>
      </c>
      <c r="E93" s="12">
        <v>2</v>
      </c>
      <c r="F93" s="8">
        <v>2.67</v>
      </c>
      <c r="G93" s="12">
        <v>0</v>
      </c>
      <c r="H93" s="8">
        <v>0</v>
      </c>
      <c r="I93" s="12">
        <v>0</v>
      </c>
    </row>
    <row r="94" spans="2:9" ht="15" customHeight="1" x14ac:dyDescent="0.2">
      <c r="B94" t="s">
        <v>167</v>
      </c>
      <c r="C94" s="12">
        <v>2</v>
      </c>
      <c r="D94" s="8">
        <v>0.99</v>
      </c>
      <c r="E94" s="12">
        <v>1</v>
      </c>
      <c r="F94" s="8">
        <v>1.33</v>
      </c>
      <c r="G94" s="12">
        <v>1</v>
      </c>
      <c r="H94" s="8">
        <v>0.79</v>
      </c>
      <c r="I94" s="12">
        <v>0</v>
      </c>
    </row>
    <row r="95" spans="2:9" ht="15" customHeight="1" x14ac:dyDescent="0.2">
      <c r="B95" t="s">
        <v>245</v>
      </c>
      <c r="C95" s="12">
        <v>2</v>
      </c>
      <c r="D95" s="8">
        <v>0.99</v>
      </c>
      <c r="E95" s="12">
        <v>1</v>
      </c>
      <c r="F95" s="8">
        <v>1.33</v>
      </c>
      <c r="G95" s="12">
        <v>1</v>
      </c>
      <c r="H95" s="8">
        <v>0.79</v>
      </c>
      <c r="I95" s="12">
        <v>0</v>
      </c>
    </row>
    <row r="96" spans="2:9" ht="15" customHeight="1" x14ac:dyDescent="0.2">
      <c r="B96" t="s">
        <v>169</v>
      </c>
      <c r="C96" s="12">
        <v>2</v>
      </c>
      <c r="D96" s="8">
        <v>0.99</v>
      </c>
      <c r="E96" s="12">
        <v>2</v>
      </c>
      <c r="F96" s="8">
        <v>2.67</v>
      </c>
      <c r="G96" s="12">
        <v>0</v>
      </c>
      <c r="H96" s="8">
        <v>0</v>
      </c>
      <c r="I96" s="12">
        <v>0</v>
      </c>
    </row>
    <row r="97" spans="2:9" ht="15" customHeight="1" x14ac:dyDescent="0.2">
      <c r="B97" t="s">
        <v>183</v>
      </c>
      <c r="C97" s="12">
        <v>2</v>
      </c>
      <c r="D97" s="8">
        <v>0.99</v>
      </c>
      <c r="E97" s="12">
        <v>2</v>
      </c>
      <c r="F97" s="8">
        <v>2.67</v>
      </c>
      <c r="G97" s="12">
        <v>0</v>
      </c>
      <c r="H97" s="8">
        <v>0</v>
      </c>
      <c r="I97" s="12">
        <v>0</v>
      </c>
    </row>
    <row r="98" spans="2:9" ht="15" customHeight="1" x14ac:dyDescent="0.2">
      <c r="B98" t="s">
        <v>204</v>
      </c>
      <c r="C98" s="12">
        <v>2</v>
      </c>
      <c r="D98" s="8">
        <v>0.99</v>
      </c>
      <c r="E98" s="12">
        <v>0</v>
      </c>
      <c r="F98" s="8">
        <v>0</v>
      </c>
      <c r="G98" s="12">
        <v>1</v>
      </c>
      <c r="H98" s="8">
        <v>0.79</v>
      </c>
      <c r="I98" s="12">
        <v>0</v>
      </c>
    </row>
    <row r="99" spans="2:9" ht="15" customHeight="1" x14ac:dyDescent="0.2">
      <c r="B99" t="s">
        <v>247</v>
      </c>
      <c r="C99" s="12">
        <v>2</v>
      </c>
      <c r="D99" s="8">
        <v>0.99</v>
      </c>
      <c r="E99" s="12">
        <v>2</v>
      </c>
      <c r="F99" s="8">
        <v>2.67</v>
      </c>
      <c r="G99" s="12">
        <v>0</v>
      </c>
      <c r="H99" s="8">
        <v>0</v>
      </c>
      <c r="I99" s="12">
        <v>0</v>
      </c>
    </row>
    <row r="100" spans="2:9" ht="15" customHeight="1" x14ac:dyDescent="0.2">
      <c r="B100" t="s">
        <v>190</v>
      </c>
      <c r="C100" s="12">
        <v>2</v>
      </c>
      <c r="D100" s="8">
        <v>0.99</v>
      </c>
      <c r="E100" s="12">
        <v>0</v>
      </c>
      <c r="F100" s="8">
        <v>0</v>
      </c>
      <c r="G100" s="12">
        <v>2</v>
      </c>
      <c r="H100" s="8">
        <v>1.59</v>
      </c>
      <c r="I100" s="12">
        <v>0</v>
      </c>
    </row>
    <row r="102" spans="2:9" ht="15" customHeight="1" x14ac:dyDescent="0.2">
      <c r="B102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1BB32-8857-4421-A4B6-7D0EAC079CCB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338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133</v>
      </c>
      <c r="D6" s="8">
        <v>15.34</v>
      </c>
      <c r="E6" s="12">
        <v>19</v>
      </c>
      <c r="F6" s="8">
        <v>6.57</v>
      </c>
      <c r="G6" s="12">
        <v>114</v>
      </c>
      <c r="H6" s="8">
        <v>19.86</v>
      </c>
      <c r="I6" s="12">
        <v>0</v>
      </c>
    </row>
    <row r="7" spans="2:9" ht="15" customHeight="1" x14ac:dyDescent="0.2">
      <c r="B7" t="s">
        <v>77</v>
      </c>
      <c r="C7" s="12">
        <v>73</v>
      </c>
      <c r="D7" s="8">
        <v>8.42</v>
      </c>
      <c r="E7" s="12">
        <v>22</v>
      </c>
      <c r="F7" s="8">
        <v>7.61</v>
      </c>
      <c r="G7" s="12">
        <v>51</v>
      </c>
      <c r="H7" s="8">
        <v>8.89</v>
      </c>
      <c r="I7" s="12">
        <v>0</v>
      </c>
    </row>
    <row r="8" spans="2:9" ht="15" customHeight="1" x14ac:dyDescent="0.2">
      <c r="B8" t="s">
        <v>78</v>
      </c>
      <c r="C8" s="12">
        <v>2</v>
      </c>
      <c r="D8" s="8">
        <v>0.23</v>
      </c>
      <c r="E8" s="12">
        <v>0</v>
      </c>
      <c r="F8" s="8">
        <v>0</v>
      </c>
      <c r="G8" s="12">
        <v>2</v>
      </c>
      <c r="H8" s="8">
        <v>0.35</v>
      </c>
      <c r="I8" s="12">
        <v>0</v>
      </c>
    </row>
    <row r="9" spans="2:9" ht="15" customHeight="1" x14ac:dyDescent="0.2">
      <c r="B9" t="s">
        <v>79</v>
      </c>
      <c r="C9" s="12">
        <v>7</v>
      </c>
      <c r="D9" s="8">
        <v>0.81</v>
      </c>
      <c r="E9" s="12">
        <v>1</v>
      </c>
      <c r="F9" s="8">
        <v>0.35</v>
      </c>
      <c r="G9" s="12">
        <v>6</v>
      </c>
      <c r="H9" s="8">
        <v>1.05</v>
      </c>
      <c r="I9" s="12">
        <v>0</v>
      </c>
    </row>
    <row r="10" spans="2:9" ht="15" customHeight="1" x14ac:dyDescent="0.2">
      <c r="B10" t="s">
        <v>80</v>
      </c>
      <c r="C10" s="12">
        <v>29</v>
      </c>
      <c r="D10" s="8">
        <v>3.34</v>
      </c>
      <c r="E10" s="12">
        <v>1</v>
      </c>
      <c r="F10" s="8">
        <v>0.35</v>
      </c>
      <c r="G10" s="12">
        <v>28</v>
      </c>
      <c r="H10" s="8">
        <v>4.88</v>
      </c>
      <c r="I10" s="12">
        <v>0</v>
      </c>
    </row>
    <row r="11" spans="2:9" ht="15" customHeight="1" x14ac:dyDescent="0.2">
      <c r="B11" t="s">
        <v>81</v>
      </c>
      <c r="C11" s="12">
        <v>267</v>
      </c>
      <c r="D11" s="8">
        <v>30.8</v>
      </c>
      <c r="E11" s="12">
        <v>65</v>
      </c>
      <c r="F11" s="8">
        <v>22.49</v>
      </c>
      <c r="G11" s="12">
        <v>202</v>
      </c>
      <c r="H11" s="8">
        <v>35.19</v>
      </c>
      <c r="I11" s="12">
        <v>0</v>
      </c>
    </row>
    <row r="12" spans="2:9" ht="15" customHeight="1" x14ac:dyDescent="0.2">
      <c r="B12" t="s">
        <v>82</v>
      </c>
      <c r="C12" s="12">
        <v>7</v>
      </c>
      <c r="D12" s="8">
        <v>0.81</v>
      </c>
      <c r="E12" s="12">
        <v>2</v>
      </c>
      <c r="F12" s="8">
        <v>0.69</v>
      </c>
      <c r="G12" s="12">
        <v>5</v>
      </c>
      <c r="H12" s="8">
        <v>0.87</v>
      </c>
      <c r="I12" s="12">
        <v>0</v>
      </c>
    </row>
    <row r="13" spans="2:9" ht="15" customHeight="1" x14ac:dyDescent="0.2">
      <c r="B13" t="s">
        <v>83</v>
      </c>
      <c r="C13" s="12">
        <v>74</v>
      </c>
      <c r="D13" s="8">
        <v>8.5399999999999991</v>
      </c>
      <c r="E13" s="12">
        <v>6</v>
      </c>
      <c r="F13" s="8">
        <v>2.08</v>
      </c>
      <c r="G13" s="12">
        <v>68</v>
      </c>
      <c r="H13" s="8">
        <v>11.85</v>
      </c>
      <c r="I13" s="12">
        <v>0</v>
      </c>
    </row>
    <row r="14" spans="2:9" ht="15" customHeight="1" x14ac:dyDescent="0.2">
      <c r="B14" t="s">
        <v>84</v>
      </c>
      <c r="C14" s="12">
        <v>43</v>
      </c>
      <c r="D14" s="8">
        <v>4.96</v>
      </c>
      <c r="E14" s="12">
        <v>24</v>
      </c>
      <c r="F14" s="8">
        <v>8.3000000000000007</v>
      </c>
      <c r="G14" s="12">
        <v>19</v>
      </c>
      <c r="H14" s="8">
        <v>3.31</v>
      </c>
      <c r="I14" s="12">
        <v>0</v>
      </c>
    </row>
    <row r="15" spans="2:9" ht="15" customHeight="1" x14ac:dyDescent="0.2">
      <c r="B15" t="s">
        <v>85</v>
      </c>
      <c r="C15" s="12">
        <v>52</v>
      </c>
      <c r="D15" s="8">
        <v>6</v>
      </c>
      <c r="E15" s="12">
        <v>44</v>
      </c>
      <c r="F15" s="8">
        <v>15.22</v>
      </c>
      <c r="G15" s="12">
        <v>8</v>
      </c>
      <c r="H15" s="8">
        <v>1.39</v>
      </c>
      <c r="I15" s="12">
        <v>0</v>
      </c>
    </row>
    <row r="16" spans="2:9" ht="15" customHeight="1" x14ac:dyDescent="0.2">
      <c r="B16" t="s">
        <v>86</v>
      </c>
      <c r="C16" s="12">
        <v>81</v>
      </c>
      <c r="D16" s="8">
        <v>9.34</v>
      </c>
      <c r="E16" s="12">
        <v>59</v>
      </c>
      <c r="F16" s="8">
        <v>20.420000000000002</v>
      </c>
      <c r="G16" s="12">
        <v>21</v>
      </c>
      <c r="H16" s="8">
        <v>3.66</v>
      </c>
      <c r="I16" s="12">
        <v>0</v>
      </c>
    </row>
    <row r="17" spans="2:9" ht="15" customHeight="1" x14ac:dyDescent="0.2">
      <c r="B17" t="s">
        <v>87</v>
      </c>
      <c r="C17" s="12">
        <v>22</v>
      </c>
      <c r="D17" s="8">
        <v>2.54</v>
      </c>
      <c r="E17" s="12">
        <v>15</v>
      </c>
      <c r="F17" s="8">
        <v>5.19</v>
      </c>
      <c r="G17" s="12">
        <v>6</v>
      </c>
      <c r="H17" s="8">
        <v>1.05</v>
      </c>
      <c r="I17" s="12">
        <v>0</v>
      </c>
    </row>
    <row r="18" spans="2:9" ht="15" customHeight="1" x14ac:dyDescent="0.2">
      <c r="B18" t="s">
        <v>88</v>
      </c>
      <c r="C18" s="12">
        <v>33</v>
      </c>
      <c r="D18" s="8">
        <v>3.81</v>
      </c>
      <c r="E18" s="12">
        <v>20</v>
      </c>
      <c r="F18" s="8">
        <v>6.92</v>
      </c>
      <c r="G18" s="12">
        <v>13</v>
      </c>
      <c r="H18" s="8">
        <v>2.2599999999999998</v>
      </c>
      <c r="I18" s="12">
        <v>0</v>
      </c>
    </row>
    <row r="19" spans="2:9" ht="15" customHeight="1" x14ac:dyDescent="0.2">
      <c r="B19" t="s">
        <v>89</v>
      </c>
      <c r="C19" s="12">
        <v>44</v>
      </c>
      <c r="D19" s="8">
        <v>5.07</v>
      </c>
      <c r="E19" s="12">
        <v>11</v>
      </c>
      <c r="F19" s="8">
        <v>3.81</v>
      </c>
      <c r="G19" s="12">
        <v>31</v>
      </c>
      <c r="H19" s="8">
        <v>5.4</v>
      </c>
      <c r="I19" s="12">
        <v>0</v>
      </c>
    </row>
    <row r="20" spans="2:9" ht="15" customHeight="1" x14ac:dyDescent="0.2">
      <c r="B20" s="9" t="s">
        <v>285</v>
      </c>
      <c r="C20" s="12">
        <f>SUM(LTBL_40349[総数／事業所数])</f>
        <v>867</v>
      </c>
      <c r="E20" s="12">
        <f>SUBTOTAL(109,LTBL_40349[個人／事業所数])</f>
        <v>289</v>
      </c>
      <c r="G20" s="12">
        <f>SUBTOTAL(109,LTBL_40349[法人／事業所数])</f>
        <v>574</v>
      </c>
      <c r="I20" s="12">
        <f>SUBTOTAL(109,LTBL_40349[法人以外の団体／事業所数])</f>
        <v>0</v>
      </c>
    </row>
    <row r="21" spans="2:9" ht="15" customHeight="1" x14ac:dyDescent="0.2">
      <c r="E21" s="11">
        <f>LTBL_40349[[#Totals],[個人／事業所数]]/LTBL_40349[[#Totals],[総数／事業所数]]</f>
        <v>0.33333333333333331</v>
      </c>
      <c r="G21" s="11">
        <f>LTBL_40349[[#Totals],[法人／事業所数]]/LTBL_40349[[#Totals],[総数／事業所数]]</f>
        <v>0.6620530565167243</v>
      </c>
      <c r="I21" s="11">
        <f>LTBL_40349[[#Totals],[法人以外の団体／事業所数]]/LTBL_40349[[#Totals],[総数／事業所数]]</f>
        <v>0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63</v>
      </c>
      <c r="D24" s="8">
        <v>7.27</v>
      </c>
      <c r="E24" s="12">
        <v>50</v>
      </c>
      <c r="F24" s="8">
        <v>17.3</v>
      </c>
      <c r="G24" s="12">
        <v>13</v>
      </c>
      <c r="H24" s="8">
        <v>2.2599999999999998</v>
      </c>
      <c r="I24" s="12">
        <v>0</v>
      </c>
    </row>
    <row r="25" spans="2:9" ht="15" customHeight="1" x14ac:dyDescent="0.2">
      <c r="B25" t="s">
        <v>107</v>
      </c>
      <c r="C25" s="12">
        <v>56</v>
      </c>
      <c r="D25" s="8">
        <v>6.46</v>
      </c>
      <c r="E25" s="12">
        <v>17</v>
      </c>
      <c r="F25" s="8">
        <v>5.88</v>
      </c>
      <c r="G25" s="12">
        <v>39</v>
      </c>
      <c r="H25" s="8">
        <v>6.79</v>
      </c>
      <c r="I25" s="12">
        <v>0</v>
      </c>
    </row>
    <row r="26" spans="2:9" ht="15" customHeight="1" x14ac:dyDescent="0.2">
      <c r="B26" t="s">
        <v>109</v>
      </c>
      <c r="C26" s="12">
        <v>53</v>
      </c>
      <c r="D26" s="8">
        <v>6.11</v>
      </c>
      <c r="E26" s="12">
        <v>5</v>
      </c>
      <c r="F26" s="8">
        <v>1.73</v>
      </c>
      <c r="G26" s="12">
        <v>48</v>
      </c>
      <c r="H26" s="8">
        <v>8.36</v>
      </c>
      <c r="I26" s="12">
        <v>0</v>
      </c>
    </row>
    <row r="27" spans="2:9" ht="15" customHeight="1" x14ac:dyDescent="0.2">
      <c r="B27" t="s">
        <v>99</v>
      </c>
      <c r="C27" s="12">
        <v>47</v>
      </c>
      <c r="D27" s="8">
        <v>5.42</v>
      </c>
      <c r="E27" s="12">
        <v>8</v>
      </c>
      <c r="F27" s="8">
        <v>2.77</v>
      </c>
      <c r="G27" s="12">
        <v>39</v>
      </c>
      <c r="H27" s="8">
        <v>6.79</v>
      </c>
      <c r="I27" s="12">
        <v>0</v>
      </c>
    </row>
    <row r="28" spans="2:9" ht="15" customHeight="1" x14ac:dyDescent="0.2">
      <c r="B28" t="s">
        <v>98</v>
      </c>
      <c r="C28" s="12">
        <v>46</v>
      </c>
      <c r="D28" s="8">
        <v>5.31</v>
      </c>
      <c r="E28" s="12">
        <v>7</v>
      </c>
      <c r="F28" s="8">
        <v>2.42</v>
      </c>
      <c r="G28" s="12">
        <v>39</v>
      </c>
      <c r="H28" s="8">
        <v>6.79</v>
      </c>
      <c r="I28" s="12">
        <v>0</v>
      </c>
    </row>
    <row r="29" spans="2:9" ht="15" customHeight="1" x14ac:dyDescent="0.2">
      <c r="B29" t="s">
        <v>112</v>
      </c>
      <c r="C29" s="12">
        <v>44</v>
      </c>
      <c r="D29" s="8">
        <v>5.07</v>
      </c>
      <c r="E29" s="12">
        <v>42</v>
      </c>
      <c r="F29" s="8">
        <v>14.53</v>
      </c>
      <c r="G29" s="12">
        <v>2</v>
      </c>
      <c r="H29" s="8">
        <v>0.35</v>
      </c>
      <c r="I29" s="12">
        <v>0</v>
      </c>
    </row>
    <row r="30" spans="2:9" ht="15" customHeight="1" x14ac:dyDescent="0.2">
      <c r="B30" t="s">
        <v>100</v>
      </c>
      <c r="C30" s="12">
        <v>40</v>
      </c>
      <c r="D30" s="8">
        <v>4.6100000000000003</v>
      </c>
      <c r="E30" s="12">
        <v>4</v>
      </c>
      <c r="F30" s="8">
        <v>1.38</v>
      </c>
      <c r="G30" s="12">
        <v>36</v>
      </c>
      <c r="H30" s="8">
        <v>6.27</v>
      </c>
      <c r="I30" s="12">
        <v>0</v>
      </c>
    </row>
    <row r="31" spans="2:9" ht="15" customHeight="1" x14ac:dyDescent="0.2">
      <c r="B31" t="s">
        <v>104</v>
      </c>
      <c r="C31" s="12">
        <v>39</v>
      </c>
      <c r="D31" s="8">
        <v>4.5</v>
      </c>
      <c r="E31" s="12">
        <v>5</v>
      </c>
      <c r="F31" s="8">
        <v>1.73</v>
      </c>
      <c r="G31" s="12">
        <v>34</v>
      </c>
      <c r="H31" s="8">
        <v>5.92</v>
      </c>
      <c r="I31" s="12">
        <v>0</v>
      </c>
    </row>
    <row r="32" spans="2:9" ht="15" customHeight="1" x14ac:dyDescent="0.2">
      <c r="B32" t="s">
        <v>106</v>
      </c>
      <c r="C32" s="12">
        <v>32</v>
      </c>
      <c r="D32" s="8">
        <v>3.69</v>
      </c>
      <c r="E32" s="12">
        <v>16</v>
      </c>
      <c r="F32" s="8">
        <v>5.54</v>
      </c>
      <c r="G32" s="12">
        <v>16</v>
      </c>
      <c r="H32" s="8">
        <v>2.79</v>
      </c>
      <c r="I32" s="12">
        <v>0</v>
      </c>
    </row>
    <row r="33" spans="2:9" ht="15" customHeight="1" x14ac:dyDescent="0.2">
      <c r="B33" t="s">
        <v>110</v>
      </c>
      <c r="C33" s="12">
        <v>31</v>
      </c>
      <c r="D33" s="8">
        <v>3.58</v>
      </c>
      <c r="E33" s="12">
        <v>21</v>
      </c>
      <c r="F33" s="8">
        <v>7.27</v>
      </c>
      <c r="G33" s="12">
        <v>10</v>
      </c>
      <c r="H33" s="8">
        <v>1.74</v>
      </c>
      <c r="I33" s="12">
        <v>0</v>
      </c>
    </row>
    <row r="34" spans="2:9" ht="15" customHeight="1" x14ac:dyDescent="0.2">
      <c r="B34" t="s">
        <v>102</v>
      </c>
      <c r="C34" s="12">
        <v>27</v>
      </c>
      <c r="D34" s="8">
        <v>3.11</v>
      </c>
      <c r="E34" s="12">
        <v>6</v>
      </c>
      <c r="F34" s="8">
        <v>2.08</v>
      </c>
      <c r="G34" s="12">
        <v>21</v>
      </c>
      <c r="H34" s="8">
        <v>3.66</v>
      </c>
      <c r="I34" s="12">
        <v>0</v>
      </c>
    </row>
    <row r="35" spans="2:9" ht="15" customHeight="1" x14ac:dyDescent="0.2">
      <c r="B35" t="s">
        <v>103</v>
      </c>
      <c r="C35" s="12">
        <v>25</v>
      </c>
      <c r="D35" s="8">
        <v>2.88</v>
      </c>
      <c r="E35" s="12">
        <v>2</v>
      </c>
      <c r="F35" s="8">
        <v>0.69</v>
      </c>
      <c r="G35" s="12">
        <v>23</v>
      </c>
      <c r="H35" s="8">
        <v>4.01</v>
      </c>
      <c r="I35" s="12">
        <v>0</v>
      </c>
    </row>
    <row r="36" spans="2:9" ht="15" customHeight="1" x14ac:dyDescent="0.2">
      <c r="B36" t="s">
        <v>101</v>
      </c>
      <c r="C36" s="12">
        <v>23</v>
      </c>
      <c r="D36" s="8">
        <v>2.65</v>
      </c>
      <c r="E36" s="12">
        <v>2</v>
      </c>
      <c r="F36" s="8">
        <v>0.69</v>
      </c>
      <c r="G36" s="12">
        <v>21</v>
      </c>
      <c r="H36" s="8">
        <v>3.66</v>
      </c>
      <c r="I36" s="12">
        <v>0</v>
      </c>
    </row>
    <row r="37" spans="2:9" ht="15" customHeight="1" x14ac:dyDescent="0.2">
      <c r="B37" t="s">
        <v>105</v>
      </c>
      <c r="C37" s="12">
        <v>23</v>
      </c>
      <c r="D37" s="8">
        <v>2.65</v>
      </c>
      <c r="E37" s="12">
        <v>12</v>
      </c>
      <c r="F37" s="8">
        <v>4.1500000000000004</v>
      </c>
      <c r="G37" s="12">
        <v>11</v>
      </c>
      <c r="H37" s="8">
        <v>1.92</v>
      </c>
      <c r="I37" s="12">
        <v>0</v>
      </c>
    </row>
    <row r="38" spans="2:9" ht="15" customHeight="1" x14ac:dyDescent="0.2">
      <c r="B38" t="s">
        <v>115</v>
      </c>
      <c r="C38" s="12">
        <v>23</v>
      </c>
      <c r="D38" s="8">
        <v>2.65</v>
      </c>
      <c r="E38" s="12">
        <v>19</v>
      </c>
      <c r="F38" s="8">
        <v>6.57</v>
      </c>
      <c r="G38" s="12">
        <v>4</v>
      </c>
      <c r="H38" s="8">
        <v>0.7</v>
      </c>
      <c r="I38" s="12">
        <v>0</v>
      </c>
    </row>
    <row r="39" spans="2:9" ht="15" customHeight="1" x14ac:dyDescent="0.2">
      <c r="B39" t="s">
        <v>124</v>
      </c>
      <c r="C39" s="12">
        <v>22</v>
      </c>
      <c r="D39" s="8">
        <v>2.54</v>
      </c>
      <c r="E39" s="12">
        <v>1</v>
      </c>
      <c r="F39" s="8">
        <v>0.35</v>
      </c>
      <c r="G39" s="12">
        <v>21</v>
      </c>
      <c r="H39" s="8">
        <v>3.66</v>
      </c>
      <c r="I39" s="12">
        <v>0</v>
      </c>
    </row>
    <row r="40" spans="2:9" ht="15" customHeight="1" x14ac:dyDescent="0.2">
      <c r="B40" t="s">
        <v>114</v>
      </c>
      <c r="C40" s="12">
        <v>22</v>
      </c>
      <c r="D40" s="8">
        <v>2.54</v>
      </c>
      <c r="E40" s="12">
        <v>15</v>
      </c>
      <c r="F40" s="8">
        <v>5.19</v>
      </c>
      <c r="G40" s="12">
        <v>6</v>
      </c>
      <c r="H40" s="8">
        <v>1.05</v>
      </c>
      <c r="I40" s="12">
        <v>0</v>
      </c>
    </row>
    <row r="41" spans="2:9" ht="15" customHeight="1" x14ac:dyDescent="0.2">
      <c r="B41" t="s">
        <v>123</v>
      </c>
      <c r="C41" s="12">
        <v>17</v>
      </c>
      <c r="D41" s="8">
        <v>1.96</v>
      </c>
      <c r="E41" s="12">
        <v>6</v>
      </c>
      <c r="F41" s="8">
        <v>2.08</v>
      </c>
      <c r="G41" s="12">
        <v>11</v>
      </c>
      <c r="H41" s="8">
        <v>1.92</v>
      </c>
      <c r="I41" s="12">
        <v>0</v>
      </c>
    </row>
    <row r="42" spans="2:9" ht="15" customHeight="1" x14ac:dyDescent="0.2">
      <c r="B42" t="s">
        <v>137</v>
      </c>
      <c r="C42" s="12">
        <v>14</v>
      </c>
      <c r="D42" s="8">
        <v>1.61</v>
      </c>
      <c r="E42" s="12">
        <v>0</v>
      </c>
      <c r="F42" s="8">
        <v>0</v>
      </c>
      <c r="G42" s="12">
        <v>14</v>
      </c>
      <c r="H42" s="8">
        <v>2.44</v>
      </c>
      <c r="I42" s="12">
        <v>0</v>
      </c>
    </row>
    <row r="43" spans="2:9" ht="15" customHeight="1" x14ac:dyDescent="0.2">
      <c r="B43" t="s">
        <v>118</v>
      </c>
      <c r="C43" s="12">
        <v>14</v>
      </c>
      <c r="D43" s="8">
        <v>1.61</v>
      </c>
      <c r="E43" s="12">
        <v>6</v>
      </c>
      <c r="F43" s="8">
        <v>2.08</v>
      </c>
      <c r="G43" s="12">
        <v>8</v>
      </c>
      <c r="H43" s="8">
        <v>1.39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164</v>
      </c>
      <c r="C47" s="12">
        <v>31</v>
      </c>
      <c r="D47" s="8">
        <v>3.58</v>
      </c>
      <c r="E47" s="12">
        <v>5</v>
      </c>
      <c r="F47" s="8">
        <v>1.73</v>
      </c>
      <c r="G47" s="12">
        <v>26</v>
      </c>
      <c r="H47" s="8">
        <v>4.53</v>
      </c>
      <c r="I47" s="12">
        <v>0</v>
      </c>
    </row>
    <row r="48" spans="2:9" ht="15" customHeight="1" x14ac:dyDescent="0.2">
      <c r="B48" t="s">
        <v>159</v>
      </c>
      <c r="C48" s="12">
        <v>27</v>
      </c>
      <c r="D48" s="8">
        <v>3.11</v>
      </c>
      <c r="E48" s="12">
        <v>13</v>
      </c>
      <c r="F48" s="8">
        <v>4.5</v>
      </c>
      <c r="G48" s="12">
        <v>14</v>
      </c>
      <c r="H48" s="8">
        <v>2.44</v>
      </c>
      <c r="I48" s="12">
        <v>0</v>
      </c>
    </row>
    <row r="49" spans="2:9" ht="15" customHeight="1" x14ac:dyDescent="0.2">
      <c r="B49" t="s">
        <v>170</v>
      </c>
      <c r="C49" s="12">
        <v>26</v>
      </c>
      <c r="D49" s="8">
        <v>3</v>
      </c>
      <c r="E49" s="12">
        <v>23</v>
      </c>
      <c r="F49" s="8">
        <v>7.96</v>
      </c>
      <c r="G49" s="12">
        <v>3</v>
      </c>
      <c r="H49" s="8">
        <v>0.52</v>
      </c>
      <c r="I49" s="12">
        <v>0</v>
      </c>
    </row>
    <row r="50" spans="2:9" ht="15" customHeight="1" x14ac:dyDescent="0.2">
      <c r="B50" t="s">
        <v>157</v>
      </c>
      <c r="C50" s="12">
        <v>23</v>
      </c>
      <c r="D50" s="8">
        <v>2.65</v>
      </c>
      <c r="E50" s="12">
        <v>4</v>
      </c>
      <c r="F50" s="8">
        <v>1.38</v>
      </c>
      <c r="G50" s="12">
        <v>19</v>
      </c>
      <c r="H50" s="8">
        <v>3.31</v>
      </c>
      <c r="I50" s="12">
        <v>0</v>
      </c>
    </row>
    <row r="51" spans="2:9" ht="15" customHeight="1" x14ac:dyDescent="0.2">
      <c r="B51" t="s">
        <v>174</v>
      </c>
      <c r="C51" s="12">
        <v>20</v>
      </c>
      <c r="D51" s="8">
        <v>2.31</v>
      </c>
      <c r="E51" s="12">
        <v>3</v>
      </c>
      <c r="F51" s="8">
        <v>1.04</v>
      </c>
      <c r="G51" s="12">
        <v>17</v>
      </c>
      <c r="H51" s="8">
        <v>2.96</v>
      </c>
      <c r="I51" s="12">
        <v>0</v>
      </c>
    </row>
    <row r="52" spans="2:9" ht="15" customHeight="1" x14ac:dyDescent="0.2">
      <c r="B52" t="s">
        <v>155</v>
      </c>
      <c r="C52" s="12">
        <v>18</v>
      </c>
      <c r="D52" s="8">
        <v>2.08</v>
      </c>
      <c r="E52" s="12">
        <v>1</v>
      </c>
      <c r="F52" s="8">
        <v>0.35</v>
      </c>
      <c r="G52" s="12">
        <v>17</v>
      </c>
      <c r="H52" s="8">
        <v>2.96</v>
      </c>
      <c r="I52" s="12">
        <v>0</v>
      </c>
    </row>
    <row r="53" spans="2:9" ht="15" customHeight="1" x14ac:dyDescent="0.2">
      <c r="B53" t="s">
        <v>185</v>
      </c>
      <c r="C53" s="12">
        <v>18</v>
      </c>
      <c r="D53" s="8">
        <v>2.08</v>
      </c>
      <c r="E53" s="12">
        <v>2</v>
      </c>
      <c r="F53" s="8">
        <v>0.69</v>
      </c>
      <c r="G53" s="12">
        <v>16</v>
      </c>
      <c r="H53" s="8">
        <v>2.79</v>
      </c>
      <c r="I53" s="12">
        <v>0</v>
      </c>
    </row>
    <row r="54" spans="2:9" ht="15" customHeight="1" x14ac:dyDescent="0.2">
      <c r="B54" t="s">
        <v>169</v>
      </c>
      <c r="C54" s="12">
        <v>18</v>
      </c>
      <c r="D54" s="8">
        <v>2.08</v>
      </c>
      <c r="E54" s="12">
        <v>18</v>
      </c>
      <c r="F54" s="8">
        <v>6.23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172</v>
      </c>
      <c r="C55" s="12">
        <v>18</v>
      </c>
      <c r="D55" s="8">
        <v>2.08</v>
      </c>
      <c r="E55" s="12">
        <v>15</v>
      </c>
      <c r="F55" s="8">
        <v>5.19</v>
      </c>
      <c r="G55" s="12">
        <v>3</v>
      </c>
      <c r="H55" s="8">
        <v>0.52</v>
      </c>
      <c r="I55" s="12">
        <v>0</v>
      </c>
    </row>
    <row r="56" spans="2:9" ht="15" customHeight="1" x14ac:dyDescent="0.2">
      <c r="B56" t="s">
        <v>173</v>
      </c>
      <c r="C56" s="12">
        <v>17</v>
      </c>
      <c r="D56" s="8">
        <v>1.96</v>
      </c>
      <c r="E56" s="12">
        <v>6</v>
      </c>
      <c r="F56" s="8">
        <v>2.08</v>
      </c>
      <c r="G56" s="12">
        <v>11</v>
      </c>
      <c r="H56" s="8">
        <v>1.92</v>
      </c>
      <c r="I56" s="12">
        <v>0</v>
      </c>
    </row>
    <row r="57" spans="2:9" ht="15" customHeight="1" x14ac:dyDescent="0.2">
      <c r="B57" t="s">
        <v>161</v>
      </c>
      <c r="C57" s="12">
        <v>15</v>
      </c>
      <c r="D57" s="8">
        <v>1.73</v>
      </c>
      <c r="E57" s="12">
        <v>7</v>
      </c>
      <c r="F57" s="8">
        <v>2.42</v>
      </c>
      <c r="G57" s="12">
        <v>8</v>
      </c>
      <c r="H57" s="8">
        <v>1.39</v>
      </c>
      <c r="I57" s="12">
        <v>0</v>
      </c>
    </row>
    <row r="58" spans="2:9" ht="15" customHeight="1" x14ac:dyDescent="0.2">
      <c r="B58" t="s">
        <v>163</v>
      </c>
      <c r="C58" s="12">
        <v>15</v>
      </c>
      <c r="D58" s="8">
        <v>1.73</v>
      </c>
      <c r="E58" s="12">
        <v>0</v>
      </c>
      <c r="F58" s="8">
        <v>0</v>
      </c>
      <c r="G58" s="12">
        <v>15</v>
      </c>
      <c r="H58" s="8">
        <v>2.61</v>
      </c>
      <c r="I58" s="12">
        <v>0</v>
      </c>
    </row>
    <row r="59" spans="2:9" ht="15" customHeight="1" x14ac:dyDescent="0.2">
      <c r="B59" t="s">
        <v>171</v>
      </c>
      <c r="C59" s="12">
        <v>15</v>
      </c>
      <c r="D59" s="8">
        <v>1.73</v>
      </c>
      <c r="E59" s="12">
        <v>12</v>
      </c>
      <c r="F59" s="8">
        <v>4.1500000000000004</v>
      </c>
      <c r="G59" s="12">
        <v>3</v>
      </c>
      <c r="H59" s="8">
        <v>0.52</v>
      </c>
      <c r="I59" s="12">
        <v>0</v>
      </c>
    </row>
    <row r="60" spans="2:9" ht="15" customHeight="1" x14ac:dyDescent="0.2">
      <c r="B60" t="s">
        <v>154</v>
      </c>
      <c r="C60" s="12">
        <v>14</v>
      </c>
      <c r="D60" s="8">
        <v>1.61</v>
      </c>
      <c r="E60" s="12">
        <v>1</v>
      </c>
      <c r="F60" s="8">
        <v>0.35</v>
      </c>
      <c r="G60" s="12">
        <v>13</v>
      </c>
      <c r="H60" s="8">
        <v>2.2599999999999998</v>
      </c>
      <c r="I60" s="12">
        <v>0</v>
      </c>
    </row>
    <row r="61" spans="2:9" ht="15" customHeight="1" x14ac:dyDescent="0.2">
      <c r="B61" t="s">
        <v>160</v>
      </c>
      <c r="C61" s="12">
        <v>14</v>
      </c>
      <c r="D61" s="8">
        <v>1.61</v>
      </c>
      <c r="E61" s="12">
        <v>2</v>
      </c>
      <c r="F61" s="8">
        <v>0.69</v>
      </c>
      <c r="G61" s="12">
        <v>12</v>
      </c>
      <c r="H61" s="8">
        <v>2.09</v>
      </c>
      <c r="I61" s="12">
        <v>0</v>
      </c>
    </row>
    <row r="62" spans="2:9" ht="15" customHeight="1" x14ac:dyDescent="0.2">
      <c r="B62" t="s">
        <v>167</v>
      </c>
      <c r="C62" s="12">
        <v>13</v>
      </c>
      <c r="D62" s="8">
        <v>1.5</v>
      </c>
      <c r="E62" s="12">
        <v>13</v>
      </c>
      <c r="F62" s="8">
        <v>4.5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182</v>
      </c>
      <c r="C63" s="12">
        <v>13</v>
      </c>
      <c r="D63" s="8">
        <v>1.5</v>
      </c>
      <c r="E63" s="12">
        <v>6</v>
      </c>
      <c r="F63" s="8">
        <v>2.08</v>
      </c>
      <c r="G63" s="12">
        <v>7</v>
      </c>
      <c r="H63" s="8">
        <v>1.22</v>
      </c>
      <c r="I63" s="12">
        <v>0</v>
      </c>
    </row>
    <row r="64" spans="2:9" ht="15" customHeight="1" x14ac:dyDescent="0.2">
      <c r="B64" t="s">
        <v>166</v>
      </c>
      <c r="C64" s="12">
        <v>12</v>
      </c>
      <c r="D64" s="8">
        <v>1.38</v>
      </c>
      <c r="E64" s="12">
        <v>10</v>
      </c>
      <c r="F64" s="8">
        <v>3.46</v>
      </c>
      <c r="G64" s="12">
        <v>2</v>
      </c>
      <c r="H64" s="8">
        <v>0.35</v>
      </c>
      <c r="I64" s="12">
        <v>0</v>
      </c>
    </row>
    <row r="65" spans="2:9" ht="15" customHeight="1" x14ac:dyDescent="0.2">
      <c r="B65" t="s">
        <v>222</v>
      </c>
      <c r="C65" s="12">
        <v>12</v>
      </c>
      <c r="D65" s="8">
        <v>1.38</v>
      </c>
      <c r="E65" s="12">
        <v>6</v>
      </c>
      <c r="F65" s="8">
        <v>2.08</v>
      </c>
      <c r="G65" s="12">
        <v>6</v>
      </c>
      <c r="H65" s="8">
        <v>1.05</v>
      </c>
      <c r="I65" s="12">
        <v>0</v>
      </c>
    </row>
    <row r="66" spans="2:9" ht="15" customHeight="1" x14ac:dyDescent="0.2">
      <c r="B66" t="s">
        <v>202</v>
      </c>
      <c r="C66" s="12">
        <v>11</v>
      </c>
      <c r="D66" s="8">
        <v>1.27</v>
      </c>
      <c r="E66" s="12">
        <v>1</v>
      </c>
      <c r="F66" s="8">
        <v>0.35</v>
      </c>
      <c r="G66" s="12">
        <v>10</v>
      </c>
      <c r="H66" s="8">
        <v>1.74</v>
      </c>
      <c r="I66" s="12">
        <v>0</v>
      </c>
    </row>
    <row r="67" spans="2:9" ht="15" customHeight="1" x14ac:dyDescent="0.2">
      <c r="B67" t="s">
        <v>156</v>
      </c>
      <c r="C67" s="12">
        <v>11</v>
      </c>
      <c r="D67" s="8">
        <v>1.27</v>
      </c>
      <c r="E67" s="12">
        <v>0</v>
      </c>
      <c r="F67" s="8">
        <v>0</v>
      </c>
      <c r="G67" s="12">
        <v>11</v>
      </c>
      <c r="H67" s="8">
        <v>1.92</v>
      </c>
      <c r="I67" s="12">
        <v>0</v>
      </c>
    </row>
    <row r="68" spans="2:9" ht="15" customHeight="1" x14ac:dyDescent="0.2">
      <c r="B68" t="s">
        <v>224</v>
      </c>
      <c r="C68" s="12">
        <v>11</v>
      </c>
      <c r="D68" s="8">
        <v>1.27</v>
      </c>
      <c r="E68" s="12">
        <v>0</v>
      </c>
      <c r="F68" s="8">
        <v>0</v>
      </c>
      <c r="G68" s="12">
        <v>11</v>
      </c>
      <c r="H68" s="8">
        <v>1.92</v>
      </c>
      <c r="I68" s="12">
        <v>0</v>
      </c>
    </row>
    <row r="69" spans="2:9" ht="15" customHeight="1" x14ac:dyDescent="0.2">
      <c r="B69" t="s">
        <v>191</v>
      </c>
      <c r="C69" s="12">
        <v>11</v>
      </c>
      <c r="D69" s="8">
        <v>1.27</v>
      </c>
      <c r="E69" s="12">
        <v>0</v>
      </c>
      <c r="F69" s="8">
        <v>0</v>
      </c>
      <c r="G69" s="12">
        <v>11</v>
      </c>
      <c r="H69" s="8">
        <v>1.92</v>
      </c>
      <c r="I69" s="12">
        <v>0</v>
      </c>
    </row>
    <row r="70" spans="2:9" ht="15" customHeight="1" x14ac:dyDescent="0.2">
      <c r="B70" t="s">
        <v>196</v>
      </c>
      <c r="C70" s="12">
        <v>11</v>
      </c>
      <c r="D70" s="8">
        <v>1.27</v>
      </c>
      <c r="E70" s="12">
        <v>1</v>
      </c>
      <c r="F70" s="8">
        <v>0.35</v>
      </c>
      <c r="G70" s="12">
        <v>10</v>
      </c>
      <c r="H70" s="8">
        <v>1.74</v>
      </c>
      <c r="I70" s="12">
        <v>0</v>
      </c>
    </row>
    <row r="71" spans="2:9" ht="15" customHeight="1" x14ac:dyDescent="0.2">
      <c r="B71" t="s">
        <v>241</v>
      </c>
      <c r="C71" s="12">
        <v>11</v>
      </c>
      <c r="D71" s="8">
        <v>1.27</v>
      </c>
      <c r="E71" s="12">
        <v>0</v>
      </c>
      <c r="F71" s="8">
        <v>0</v>
      </c>
      <c r="G71" s="12">
        <v>11</v>
      </c>
      <c r="H71" s="8">
        <v>1.92</v>
      </c>
      <c r="I71" s="12">
        <v>0</v>
      </c>
    </row>
    <row r="72" spans="2:9" ht="15" customHeight="1" x14ac:dyDescent="0.2">
      <c r="B72" t="s">
        <v>162</v>
      </c>
      <c r="C72" s="12">
        <v>11</v>
      </c>
      <c r="D72" s="8">
        <v>1.27</v>
      </c>
      <c r="E72" s="12">
        <v>0</v>
      </c>
      <c r="F72" s="8">
        <v>0</v>
      </c>
      <c r="G72" s="12">
        <v>11</v>
      </c>
      <c r="H72" s="8">
        <v>1.92</v>
      </c>
      <c r="I72" s="12">
        <v>0</v>
      </c>
    </row>
    <row r="74" spans="2:9" ht="15" customHeight="1" x14ac:dyDescent="0.2">
      <c r="B74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ADF8D-CF51-464E-8D91-844C8E0EDC45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339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1</v>
      </c>
      <c r="D5" s="8">
        <v>0.31</v>
      </c>
      <c r="E5" s="12">
        <v>0</v>
      </c>
      <c r="F5" s="8">
        <v>0</v>
      </c>
      <c r="G5" s="12">
        <v>1</v>
      </c>
      <c r="H5" s="8">
        <v>0.89</v>
      </c>
      <c r="I5" s="12">
        <v>0</v>
      </c>
    </row>
    <row r="6" spans="2:9" ht="15" customHeight="1" x14ac:dyDescent="0.2">
      <c r="B6" t="s">
        <v>76</v>
      </c>
      <c r="C6" s="12">
        <v>65</v>
      </c>
      <c r="D6" s="8">
        <v>19.940000000000001</v>
      </c>
      <c r="E6" s="12">
        <v>21</v>
      </c>
      <c r="F6" s="8">
        <v>10.24</v>
      </c>
      <c r="G6" s="12">
        <v>44</v>
      </c>
      <c r="H6" s="8">
        <v>39.29</v>
      </c>
      <c r="I6" s="12">
        <v>0</v>
      </c>
    </row>
    <row r="7" spans="2:9" ht="15" customHeight="1" x14ac:dyDescent="0.2">
      <c r="B7" t="s">
        <v>77</v>
      </c>
      <c r="C7" s="12">
        <v>15</v>
      </c>
      <c r="D7" s="8">
        <v>4.5999999999999996</v>
      </c>
      <c r="E7" s="12">
        <v>8</v>
      </c>
      <c r="F7" s="8">
        <v>3.9</v>
      </c>
      <c r="G7" s="12">
        <v>7</v>
      </c>
      <c r="H7" s="8">
        <v>6.25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4</v>
      </c>
      <c r="D9" s="8">
        <v>1.23</v>
      </c>
      <c r="E9" s="12">
        <v>1</v>
      </c>
      <c r="F9" s="8">
        <v>0.49</v>
      </c>
      <c r="G9" s="12">
        <v>3</v>
      </c>
      <c r="H9" s="8">
        <v>2.68</v>
      </c>
      <c r="I9" s="12">
        <v>0</v>
      </c>
    </row>
    <row r="10" spans="2:9" ht="15" customHeight="1" x14ac:dyDescent="0.2">
      <c r="B10" t="s">
        <v>80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81</v>
      </c>
      <c r="C11" s="12">
        <v>70</v>
      </c>
      <c r="D11" s="8">
        <v>21.47</v>
      </c>
      <c r="E11" s="12">
        <v>51</v>
      </c>
      <c r="F11" s="8">
        <v>24.88</v>
      </c>
      <c r="G11" s="12">
        <v>19</v>
      </c>
      <c r="H11" s="8">
        <v>16.96</v>
      </c>
      <c r="I11" s="12">
        <v>0</v>
      </c>
    </row>
    <row r="12" spans="2:9" ht="15" customHeight="1" x14ac:dyDescent="0.2">
      <c r="B12" t="s">
        <v>82</v>
      </c>
      <c r="C12" s="12">
        <v>4</v>
      </c>
      <c r="D12" s="8">
        <v>1.23</v>
      </c>
      <c r="E12" s="12">
        <v>1</v>
      </c>
      <c r="F12" s="8">
        <v>0.49</v>
      </c>
      <c r="G12" s="12">
        <v>3</v>
      </c>
      <c r="H12" s="8">
        <v>2.68</v>
      </c>
      <c r="I12" s="12">
        <v>0</v>
      </c>
    </row>
    <row r="13" spans="2:9" ht="15" customHeight="1" x14ac:dyDescent="0.2">
      <c r="B13" t="s">
        <v>83</v>
      </c>
      <c r="C13" s="12">
        <v>21</v>
      </c>
      <c r="D13" s="8">
        <v>6.44</v>
      </c>
      <c r="E13" s="12">
        <v>9</v>
      </c>
      <c r="F13" s="8">
        <v>4.3899999999999997</v>
      </c>
      <c r="G13" s="12">
        <v>8</v>
      </c>
      <c r="H13" s="8">
        <v>7.14</v>
      </c>
      <c r="I13" s="12">
        <v>2</v>
      </c>
    </row>
    <row r="14" spans="2:9" ht="15" customHeight="1" x14ac:dyDescent="0.2">
      <c r="B14" t="s">
        <v>84</v>
      </c>
      <c r="C14" s="12">
        <v>4</v>
      </c>
      <c r="D14" s="8">
        <v>1.23</v>
      </c>
      <c r="E14" s="12">
        <v>2</v>
      </c>
      <c r="F14" s="8">
        <v>0.98</v>
      </c>
      <c r="G14" s="12">
        <v>2</v>
      </c>
      <c r="H14" s="8">
        <v>1.79</v>
      </c>
      <c r="I14" s="12">
        <v>0</v>
      </c>
    </row>
    <row r="15" spans="2:9" ht="15" customHeight="1" x14ac:dyDescent="0.2">
      <c r="B15" t="s">
        <v>85</v>
      </c>
      <c r="C15" s="12">
        <v>65</v>
      </c>
      <c r="D15" s="8">
        <v>19.940000000000001</v>
      </c>
      <c r="E15" s="12">
        <v>58</v>
      </c>
      <c r="F15" s="8">
        <v>28.29</v>
      </c>
      <c r="G15" s="12">
        <v>6</v>
      </c>
      <c r="H15" s="8">
        <v>5.36</v>
      </c>
      <c r="I15" s="12">
        <v>0</v>
      </c>
    </row>
    <row r="16" spans="2:9" ht="15" customHeight="1" x14ac:dyDescent="0.2">
      <c r="B16" t="s">
        <v>86</v>
      </c>
      <c r="C16" s="12">
        <v>44</v>
      </c>
      <c r="D16" s="8">
        <v>13.5</v>
      </c>
      <c r="E16" s="12">
        <v>40</v>
      </c>
      <c r="F16" s="8">
        <v>19.510000000000002</v>
      </c>
      <c r="G16" s="12">
        <v>3</v>
      </c>
      <c r="H16" s="8">
        <v>2.68</v>
      </c>
      <c r="I16" s="12">
        <v>0</v>
      </c>
    </row>
    <row r="17" spans="2:9" ht="15" customHeight="1" x14ac:dyDescent="0.2">
      <c r="B17" t="s">
        <v>87</v>
      </c>
      <c r="C17" s="12">
        <v>5</v>
      </c>
      <c r="D17" s="8">
        <v>1.53</v>
      </c>
      <c r="E17" s="12">
        <v>3</v>
      </c>
      <c r="F17" s="8">
        <v>1.46</v>
      </c>
      <c r="G17" s="12">
        <v>2</v>
      </c>
      <c r="H17" s="8">
        <v>1.79</v>
      </c>
      <c r="I17" s="12">
        <v>0</v>
      </c>
    </row>
    <row r="18" spans="2:9" ht="15" customHeight="1" x14ac:dyDescent="0.2">
      <c r="B18" t="s">
        <v>88</v>
      </c>
      <c r="C18" s="12">
        <v>15</v>
      </c>
      <c r="D18" s="8">
        <v>4.5999999999999996</v>
      </c>
      <c r="E18" s="12">
        <v>4</v>
      </c>
      <c r="F18" s="8">
        <v>1.95</v>
      </c>
      <c r="G18" s="12">
        <v>9</v>
      </c>
      <c r="H18" s="8">
        <v>8.0399999999999991</v>
      </c>
      <c r="I18" s="12">
        <v>0</v>
      </c>
    </row>
    <row r="19" spans="2:9" ht="15" customHeight="1" x14ac:dyDescent="0.2">
      <c r="B19" t="s">
        <v>89</v>
      </c>
      <c r="C19" s="12">
        <v>13</v>
      </c>
      <c r="D19" s="8">
        <v>3.99</v>
      </c>
      <c r="E19" s="12">
        <v>7</v>
      </c>
      <c r="F19" s="8">
        <v>3.41</v>
      </c>
      <c r="G19" s="12">
        <v>5</v>
      </c>
      <c r="H19" s="8">
        <v>4.46</v>
      </c>
      <c r="I19" s="12">
        <v>0</v>
      </c>
    </row>
    <row r="20" spans="2:9" ht="15" customHeight="1" x14ac:dyDescent="0.2">
      <c r="B20" s="9" t="s">
        <v>285</v>
      </c>
      <c r="C20" s="12">
        <f>SUM(LTBL_40381[総数／事業所数])</f>
        <v>326</v>
      </c>
      <c r="E20" s="12">
        <f>SUBTOTAL(109,LTBL_40381[個人／事業所数])</f>
        <v>205</v>
      </c>
      <c r="G20" s="12">
        <f>SUBTOTAL(109,LTBL_40381[法人／事業所数])</f>
        <v>112</v>
      </c>
      <c r="I20" s="12">
        <f>SUBTOTAL(109,LTBL_40381[法人以外の団体／事業所数])</f>
        <v>2</v>
      </c>
    </row>
    <row r="21" spans="2:9" ht="15" customHeight="1" x14ac:dyDescent="0.2">
      <c r="E21" s="11">
        <f>LTBL_40381[[#Totals],[個人／事業所数]]/LTBL_40381[[#Totals],[総数／事業所数]]</f>
        <v>0.62883435582822089</v>
      </c>
      <c r="G21" s="11">
        <f>LTBL_40381[[#Totals],[法人／事業所数]]/LTBL_40381[[#Totals],[総数／事業所数]]</f>
        <v>0.34355828220858897</v>
      </c>
      <c r="I21" s="11">
        <f>LTBL_40381[[#Totals],[法人以外の団体／事業所数]]/LTBL_40381[[#Totals],[総数／事業所数]]</f>
        <v>6.1349693251533744E-3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112</v>
      </c>
      <c r="C24" s="12">
        <v>61</v>
      </c>
      <c r="D24" s="8">
        <v>18.71</v>
      </c>
      <c r="E24" s="12">
        <v>56</v>
      </c>
      <c r="F24" s="8">
        <v>27.32</v>
      </c>
      <c r="G24" s="12">
        <v>5</v>
      </c>
      <c r="H24" s="8">
        <v>4.46</v>
      </c>
      <c r="I24" s="12">
        <v>0</v>
      </c>
    </row>
    <row r="25" spans="2:9" ht="15" customHeight="1" x14ac:dyDescent="0.2">
      <c r="B25" t="s">
        <v>98</v>
      </c>
      <c r="C25" s="12">
        <v>34</v>
      </c>
      <c r="D25" s="8">
        <v>10.43</v>
      </c>
      <c r="E25" s="12">
        <v>9</v>
      </c>
      <c r="F25" s="8">
        <v>4.3899999999999997</v>
      </c>
      <c r="G25" s="12">
        <v>25</v>
      </c>
      <c r="H25" s="8">
        <v>22.32</v>
      </c>
      <c r="I25" s="12">
        <v>0</v>
      </c>
    </row>
    <row r="26" spans="2:9" ht="15" customHeight="1" x14ac:dyDescent="0.2">
      <c r="B26" t="s">
        <v>113</v>
      </c>
      <c r="C26" s="12">
        <v>34</v>
      </c>
      <c r="D26" s="8">
        <v>10.43</v>
      </c>
      <c r="E26" s="12">
        <v>33</v>
      </c>
      <c r="F26" s="8">
        <v>16.100000000000001</v>
      </c>
      <c r="G26" s="12">
        <v>1</v>
      </c>
      <c r="H26" s="8">
        <v>0.89</v>
      </c>
      <c r="I26" s="12">
        <v>0</v>
      </c>
    </row>
    <row r="27" spans="2:9" ht="15" customHeight="1" x14ac:dyDescent="0.2">
      <c r="B27" t="s">
        <v>107</v>
      </c>
      <c r="C27" s="12">
        <v>27</v>
      </c>
      <c r="D27" s="8">
        <v>8.2799999999999994</v>
      </c>
      <c r="E27" s="12">
        <v>20</v>
      </c>
      <c r="F27" s="8">
        <v>9.76</v>
      </c>
      <c r="G27" s="12">
        <v>7</v>
      </c>
      <c r="H27" s="8">
        <v>6.25</v>
      </c>
      <c r="I27" s="12">
        <v>0</v>
      </c>
    </row>
    <row r="28" spans="2:9" ht="15" customHeight="1" x14ac:dyDescent="0.2">
      <c r="B28" t="s">
        <v>100</v>
      </c>
      <c r="C28" s="12">
        <v>21</v>
      </c>
      <c r="D28" s="8">
        <v>6.44</v>
      </c>
      <c r="E28" s="12">
        <v>7</v>
      </c>
      <c r="F28" s="8">
        <v>3.41</v>
      </c>
      <c r="G28" s="12">
        <v>14</v>
      </c>
      <c r="H28" s="8">
        <v>12.5</v>
      </c>
      <c r="I28" s="12">
        <v>0</v>
      </c>
    </row>
    <row r="29" spans="2:9" ht="15" customHeight="1" x14ac:dyDescent="0.2">
      <c r="B29" t="s">
        <v>109</v>
      </c>
      <c r="C29" s="12">
        <v>18</v>
      </c>
      <c r="D29" s="8">
        <v>5.52</v>
      </c>
      <c r="E29" s="12">
        <v>9</v>
      </c>
      <c r="F29" s="8">
        <v>4.3899999999999997</v>
      </c>
      <c r="G29" s="12">
        <v>5</v>
      </c>
      <c r="H29" s="8">
        <v>4.46</v>
      </c>
      <c r="I29" s="12">
        <v>2</v>
      </c>
    </row>
    <row r="30" spans="2:9" ht="15" customHeight="1" x14ac:dyDescent="0.2">
      <c r="B30" t="s">
        <v>105</v>
      </c>
      <c r="C30" s="12">
        <v>17</v>
      </c>
      <c r="D30" s="8">
        <v>5.21</v>
      </c>
      <c r="E30" s="12">
        <v>16</v>
      </c>
      <c r="F30" s="8">
        <v>7.8</v>
      </c>
      <c r="G30" s="12">
        <v>1</v>
      </c>
      <c r="H30" s="8">
        <v>0.89</v>
      </c>
      <c r="I30" s="12">
        <v>0</v>
      </c>
    </row>
    <row r="31" spans="2:9" ht="15" customHeight="1" x14ac:dyDescent="0.2">
      <c r="B31" t="s">
        <v>106</v>
      </c>
      <c r="C31" s="12">
        <v>12</v>
      </c>
      <c r="D31" s="8">
        <v>3.68</v>
      </c>
      <c r="E31" s="12">
        <v>9</v>
      </c>
      <c r="F31" s="8">
        <v>4.3899999999999997</v>
      </c>
      <c r="G31" s="12">
        <v>3</v>
      </c>
      <c r="H31" s="8">
        <v>2.68</v>
      </c>
      <c r="I31" s="12">
        <v>0</v>
      </c>
    </row>
    <row r="32" spans="2:9" ht="15" customHeight="1" x14ac:dyDescent="0.2">
      <c r="B32" t="s">
        <v>116</v>
      </c>
      <c r="C32" s="12">
        <v>11</v>
      </c>
      <c r="D32" s="8">
        <v>3.37</v>
      </c>
      <c r="E32" s="12">
        <v>0</v>
      </c>
      <c r="F32" s="8">
        <v>0</v>
      </c>
      <c r="G32" s="12">
        <v>9</v>
      </c>
      <c r="H32" s="8">
        <v>8.0399999999999991</v>
      </c>
      <c r="I32" s="12">
        <v>0</v>
      </c>
    </row>
    <row r="33" spans="2:9" ht="15" customHeight="1" x14ac:dyDescent="0.2">
      <c r="B33" t="s">
        <v>99</v>
      </c>
      <c r="C33" s="12">
        <v>10</v>
      </c>
      <c r="D33" s="8">
        <v>3.07</v>
      </c>
      <c r="E33" s="12">
        <v>5</v>
      </c>
      <c r="F33" s="8">
        <v>2.44</v>
      </c>
      <c r="G33" s="12">
        <v>5</v>
      </c>
      <c r="H33" s="8">
        <v>4.46</v>
      </c>
      <c r="I33" s="12">
        <v>0</v>
      </c>
    </row>
    <row r="34" spans="2:9" ht="15" customHeight="1" x14ac:dyDescent="0.2">
      <c r="B34" t="s">
        <v>127</v>
      </c>
      <c r="C34" s="12">
        <v>6</v>
      </c>
      <c r="D34" s="8">
        <v>1.84</v>
      </c>
      <c r="E34" s="12">
        <v>4</v>
      </c>
      <c r="F34" s="8">
        <v>1.95</v>
      </c>
      <c r="G34" s="12">
        <v>1</v>
      </c>
      <c r="H34" s="8">
        <v>0.89</v>
      </c>
      <c r="I34" s="12">
        <v>0</v>
      </c>
    </row>
    <row r="35" spans="2:9" ht="15" customHeight="1" x14ac:dyDescent="0.2">
      <c r="B35" t="s">
        <v>123</v>
      </c>
      <c r="C35" s="12">
        <v>6</v>
      </c>
      <c r="D35" s="8">
        <v>1.84</v>
      </c>
      <c r="E35" s="12">
        <v>5</v>
      </c>
      <c r="F35" s="8">
        <v>2.44</v>
      </c>
      <c r="G35" s="12">
        <v>1</v>
      </c>
      <c r="H35" s="8">
        <v>0.89</v>
      </c>
      <c r="I35" s="12">
        <v>0</v>
      </c>
    </row>
    <row r="36" spans="2:9" ht="15" customHeight="1" x14ac:dyDescent="0.2">
      <c r="B36" t="s">
        <v>114</v>
      </c>
      <c r="C36" s="12">
        <v>5</v>
      </c>
      <c r="D36" s="8">
        <v>1.53</v>
      </c>
      <c r="E36" s="12">
        <v>3</v>
      </c>
      <c r="F36" s="8">
        <v>1.46</v>
      </c>
      <c r="G36" s="12">
        <v>2</v>
      </c>
      <c r="H36" s="8">
        <v>1.79</v>
      </c>
      <c r="I36" s="12">
        <v>0</v>
      </c>
    </row>
    <row r="37" spans="2:9" ht="15" customHeight="1" x14ac:dyDescent="0.2">
      <c r="B37" t="s">
        <v>130</v>
      </c>
      <c r="C37" s="12">
        <v>4</v>
      </c>
      <c r="D37" s="8">
        <v>1.23</v>
      </c>
      <c r="E37" s="12">
        <v>3</v>
      </c>
      <c r="F37" s="8">
        <v>1.46</v>
      </c>
      <c r="G37" s="12">
        <v>1</v>
      </c>
      <c r="H37" s="8">
        <v>0.89</v>
      </c>
      <c r="I37" s="12">
        <v>0</v>
      </c>
    </row>
    <row r="38" spans="2:9" ht="15" customHeight="1" x14ac:dyDescent="0.2">
      <c r="B38" t="s">
        <v>101</v>
      </c>
      <c r="C38" s="12">
        <v>4</v>
      </c>
      <c r="D38" s="8">
        <v>1.23</v>
      </c>
      <c r="E38" s="12">
        <v>2</v>
      </c>
      <c r="F38" s="8">
        <v>0.98</v>
      </c>
      <c r="G38" s="12">
        <v>2</v>
      </c>
      <c r="H38" s="8">
        <v>1.79</v>
      </c>
      <c r="I38" s="12">
        <v>0</v>
      </c>
    </row>
    <row r="39" spans="2:9" ht="15" customHeight="1" x14ac:dyDescent="0.2">
      <c r="B39" t="s">
        <v>122</v>
      </c>
      <c r="C39" s="12">
        <v>4</v>
      </c>
      <c r="D39" s="8">
        <v>1.23</v>
      </c>
      <c r="E39" s="12">
        <v>1</v>
      </c>
      <c r="F39" s="8">
        <v>0.49</v>
      </c>
      <c r="G39" s="12">
        <v>3</v>
      </c>
      <c r="H39" s="8">
        <v>2.68</v>
      </c>
      <c r="I39" s="12">
        <v>0</v>
      </c>
    </row>
    <row r="40" spans="2:9" ht="15" customHeight="1" x14ac:dyDescent="0.2">
      <c r="B40" t="s">
        <v>118</v>
      </c>
      <c r="C40" s="12">
        <v>4</v>
      </c>
      <c r="D40" s="8">
        <v>1.23</v>
      </c>
      <c r="E40" s="12">
        <v>3</v>
      </c>
      <c r="F40" s="8">
        <v>1.46</v>
      </c>
      <c r="G40" s="12">
        <v>1</v>
      </c>
      <c r="H40" s="8">
        <v>0.89</v>
      </c>
      <c r="I40" s="12">
        <v>0</v>
      </c>
    </row>
    <row r="41" spans="2:9" ht="15" customHeight="1" x14ac:dyDescent="0.2">
      <c r="B41" t="s">
        <v>115</v>
      </c>
      <c r="C41" s="12">
        <v>4</v>
      </c>
      <c r="D41" s="8">
        <v>1.23</v>
      </c>
      <c r="E41" s="12">
        <v>4</v>
      </c>
      <c r="F41" s="8">
        <v>1.95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139</v>
      </c>
      <c r="C42" s="12">
        <v>4</v>
      </c>
      <c r="D42" s="8">
        <v>1.23</v>
      </c>
      <c r="E42" s="12">
        <v>2</v>
      </c>
      <c r="F42" s="8">
        <v>0.98</v>
      </c>
      <c r="G42" s="12">
        <v>2</v>
      </c>
      <c r="H42" s="8">
        <v>1.79</v>
      </c>
      <c r="I42" s="12">
        <v>0</v>
      </c>
    </row>
    <row r="43" spans="2:9" ht="15" customHeight="1" x14ac:dyDescent="0.2">
      <c r="B43" t="s">
        <v>129</v>
      </c>
      <c r="C43" s="12">
        <v>3</v>
      </c>
      <c r="D43" s="8">
        <v>0.92</v>
      </c>
      <c r="E43" s="12">
        <v>1</v>
      </c>
      <c r="F43" s="8">
        <v>0.49</v>
      </c>
      <c r="G43" s="12">
        <v>2</v>
      </c>
      <c r="H43" s="8">
        <v>1.79</v>
      </c>
      <c r="I43" s="12">
        <v>0</v>
      </c>
    </row>
    <row r="44" spans="2:9" ht="15" customHeight="1" x14ac:dyDescent="0.2">
      <c r="B44" t="s">
        <v>141</v>
      </c>
      <c r="C44" s="12">
        <v>3</v>
      </c>
      <c r="D44" s="8">
        <v>0.92</v>
      </c>
      <c r="E44" s="12">
        <v>1</v>
      </c>
      <c r="F44" s="8">
        <v>0.49</v>
      </c>
      <c r="G44" s="12">
        <v>2</v>
      </c>
      <c r="H44" s="8">
        <v>1.79</v>
      </c>
      <c r="I44" s="12">
        <v>0</v>
      </c>
    </row>
    <row r="45" spans="2:9" ht="15" customHeight="1" x14ac:dyDescent="0.2">
      <c r="B45" t="s">
        <v>104</v>
      </c>
      <c r="C45" s="12">
        <v>3</v>
      </c>
      <c r="D45" s="8">
        <v>0.92</v>
      </c>
      <c r="E45" s="12">
        <v>1</v>
      </c>
      <c r="F45" s="8">
        <v>0.49</v>
      </c>
      <c r="G45" s="12">
        <v>2</v>
      </c>
      <c r="H45" s="8">
        <v>1.79</v>
      </c>
      <c r="I45" s="12">
        <v>0</v>
      </c>
    </row>
    <row r="46" spans="2:9" ht="15" customHeight="1" x14ac:dyDescent="0.2">
      <c r="B46" t="s">
        <v>126</v>
      </c>
      <c r="C46" s="12">
        <v>3</v>
      </c>
      <c r="D46" s="8">
        <v>0.92</v>
      </c>
      <c r="E46" s="12">
        <v>0</v>
      </c>
      <c r="F46" s="8">
        <v>0</v>
      </c>
      <c r="G46" s="12">
        <v>3</v>
      </c>
      <c r="H46" s="8">
        <v>2.68</v>
      </c>
      <c r="I46" s="12">
        <v>0</v>
      </c>
    </row>
    <row r="47" spans="2:9" ht="15" customHeight="1" x14ac:dyDescent="0.2">
      <c r="B47" t="s">
        <v>108</v>
      </c>
      <c r="C47" s="12">
        <v>3</v>
      </c>
      <c r="D47" s="8">
        <v>0.92</v>
      </c>
      <c r="E47" s="12">
        <v>0</v>
      </c>
      <c r="F47" s="8">
        <v>0</v>
      </c>
      <c r="G47" s="12">
        <v>3</v>
      </c>
      <c r="H47" s="8">
        <v>2.68</v>
      </c>
      <c r="I47" s="12">
        <v>0</v>
      </c>
    </row>
    <row r="48" spans="2:9" ht="15" customHeight="1" x14ac:dyDescent="0.2">
      <c r="B48" t="s">
        <v>110</v>
      </c>
      <c r="C48" s="12">
        <v>3</v>
      </c>
      <c r="D48" s="8">
        <v>0.92</v>
      </c>
      <c r="E48" s="12">
        <v>2</v>
      </c>
      <c r="F48" s="8">
        <v>0.98</v>
      </c>
      <c r="G48" s="12">
        <v>1</v>
      </c>
      <c r="H48" s="8">
        <v>0.89</v>
      </c>
      <c r="I48" s="12">
        <v>0</v>
      </c>
    </row>
    <row r="51" spans="2:9" ht="33" customHeight="1" x14ac:dyDescent="0.2">
      <c r="B51" t="s">
        <v>287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2">
      <c r="B52" t="s">
        <v>168</v>
      </c>
      <c r="C52" s="12">
        <v>27</v>
      </c>
      <c r="D52" s="8">
        <v>8.2799999999999994</v>
      </c>
      <c r="E52" s="12">
        <v>25</v>
      </c>
      <c r="F52" s="8">
        <v>12.2</v>
      </c>
      <c r="G52" s="12">
        <v>2</v>
      </c>
      <c r="H52" s="8">
        <v>1.79</v>
      </c>
      <c r="I52" s="12">
        <v>0</v>
      </c>
    </row>
    <row r="53" spans="2:9" ht="15" customHeight="1" x14ac:dyDescent="0.2">
      <c r="B53" t="s">
        <v>154</v>
      </c>
      <c r="C53" s="12">
        <v>19</v>
      </c>
      <c r="D53" s="8">
        <v>5.83</v>
      </c>
      <c r="E53" s="12">
        <v>5</v>
      </c>
      <c r="F53" s="8">
        <v>2.44</v>
      </c>
      <c r="G53" s="12">
        <v>14</v>
      </c>
      <c r="H53" s="8">
        <v>12.5</v>
      </c>
      <c r="I53" s="12">
        <v>0</v>
      </c>
    </row>
    <row r="54" spans="2:9" ht="15" customHeight="1" x14ac:dyDescent="0.2">
      <c r="B54" t="s">
        <v>170</v>
      </c>
      <c r="C54" s="12">
        <v>16</v>
      </c>
      <c r="D54" s="8">
        <v>4.91</v>
      </c>
      <c r="E54" s="12">
        <v>16</v>
      </c>
      <c r="F54" s="8">
        <v>7.8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169</v>
      </c>
      <c r="C55" s="12">
        <v>15</v>
      </c>
      <c r="D55" s="8">
        <v>4.5999999999999996</v>
      </c>
      <c r="E55" s="12">
        <v>15</v>
      </c>
      <c r="F55" s="8">
        <v>7.32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167</v>
      </c>
      <c r="C56" s="12">
        <v>13</v>
      </c>
      <c r="D56" s="8">
        <v>3.99</v>
      </c>
      <c r="E56" s="12">
        <v>13</v>
      </c>
      <c r="F56" s="8">
        <v>6.34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164</v>
      </c>
      <c r="C57" s="12">
        <v>12</v>
      </c>
      <c r="D57" s="8">
        <v>3.68</v>
      </c>
      <c r="E57" s="12">
        <v>8</v>
      </c>
      <c r="F57" s="8">
        <v>3.9</v>
      </c>
      <c r="G57" s="12">
        <v>3</v>
      </c>
      <c r="H57" s="8">
        <v>2.68</v>
      </c>
      <c r="I57" s="12">
        <v>0</v>
      </c>
    </row>
    <row r="58" spans="2:9" ht="15" customHeight="1" x14ac:dyDescent="0.2">
      <c r="B58" t="s">
        <v>174</v>
      </c>
      <c r="C58" s="12">
        <v>11</v>
      </c>
      <c r="D58" s="8">
        <v>3.37</v>
      </c>
      <c r="E58" s="12">
        <v>2</v>
      </c>
      <c r="F58" s="8">
        <v>0.98</v>
      </c>
      <c r="G58" s="12">
        <v>9</v>
      </c>
      <c r="H58" s="8">
        <v>8.0399999999999991</v>
      </c>
      <c r="I58" s="12">
        <v>0</v>
      </c>
    </row>
    <row r="59" spans="2:9" ht="15" customHeight="1" x14ac:dyDescent="0.2">
      <c r="B59" t="s">
        <v>159</v>
      </c>
      <c r="C59" s="12">
        <v>11</v>
      </c>
      <c r="D59" s="8">
        <v>3.37</v>
      </c>
      <c r="E59" s="12">
        <v>8</v>
      </c>
      <c r="F59" s="8">
        <v>3.9</v>
      </c>
      <c r="G59" s="12">
        <v>3</v>
      </c>
      <c r="H59" s="8">
        <v>2.68</v>
      </c>
      <c r="I59" s="12">
        <v>0</v>
      </c>
    </row>
    <row r="60" spans="2:9" ht="15" customHeight="1" x14ac:dyDescent="0.2">
      <c r="B60" t="s">
        <v>160</v>
      </c>
      <c r="C60" s="12">
        <v>9</v>
      </c>
      <c r="D60" s="8">
        <v>2.76</v>
      </c>
      <c r="E60" s="12">
        <v>5</v>
      </c>
      <c r="F60" s="8">
        <v>2.44</v>
      </c>
      <c r="G60" s="12">
        <v>4</v>
      </c>
      <c r="H60" s="8">
        <v>3.57</v>
      </c>
      <c r="I60" s="12">
        <v>0</v>
      </c>
    </row>
    <row r="61" spans="2:9" ht="15" customHeight="1" x14ac:dyDescent="0.2">
      <c r="B61" t="s">
        <v>156</v>
      </c>
      <c r="C61" s="12">
        <v>8</v>
      </c>
      <c r="D61" s="8">
        <v>2.4500000000000002</v>
      </c>
      <c r="E61" s="12">
        <v>5</v>
      </c>
      <c r="F61" s="8">
        <v>2.44</v>
      </c>
      <c r="G61" s="12">
        <v>3</v>
      </c>
      <c r="H61" s="8">
        <v>2.68</v>
      </c>
      <c r="I61" s="12">
        <v>0</v>
      </c>
    </row>
    <row r="62" spans="2:9" ht="15" customHeight="1" x14ac:dyDescent="0.2">
      <c r="B62" t="s">
        <v>166</v>
      </c>
      <c r="C62" s="12">
        <v>7</v>
      </c>
      <c r="D62" s="8">
        <v>2.15</v>
      </c>
      <c r="E62" s="12">
        <v>6</v>
      </c>
      <c r="F62" s="8">
        <v>2.93</v>
      </c>
      <c r="G62" s="12">
        <v>1</v>
      </c>
      <c r="H62" s="8">
        <v>0.89</v>
      </c>
      <c r="I62" s="12">
        <v>0</v>
      </c>
    </row>
    <row r="63" spans="2:9" ht="15" customHeight="1" x14ac:dyDescent="0.2">
      <c r="B63" t="s">
        <v>186</v>
      </c>
      <c r="C63" s="12">
        <v>6</v>
      </c>
      <c r="D63" s="8">
        <v>1.84</v>
      </c>
      <c r="E63" s="12">
        <v>2</v>
      </c>
      <c r="F63" s="8">
        <v>0.98</v>
      </c>
      <c r="G63" s="12">
        <v>4</v>
      </c>
      <c r="H63" s="8">
        <v>3.57</v>
      </c>
      <c r="I63" s="12">
        <v>0</v>
      </c>
    </row>
    <row r="64" spans="2:9" ht="15" customHeight="1" x14ac:dyDescent="0.2">
      <c r="B64" t="s">
        <v>161</v>
      </c>
      <c r="C64" s="12">
        <v>6</v>
      </c>
      <c r="D64" s="8">
        <v>1.84</v>
      </c>
      <c r="E64" s="12">
        <v>5</v>
      </c>
      <c r="F64" s="8">
        <v>2.44</v>
      </c>
      <c r="G64" s="12">
        <v>1</v>
      </c>
      <c r="H64" s="8">
        <v>0.89</v>
      </c>
      <c r="I64" s="12">
        <v>0</v>
      </c>
    </row>
    <row r="65" spans="2:9" ht="15" customHeight="1" x14ac:dyDescent="0.2">
      <c r="B65" t="s">
        <v>204</v>
      </c>
      <c r="C65" s="12">
        <v>6</v>
      </c>
      <c r="D65" s="8">
        <v>1.84</v>
      </c>
      <c r="E65" s="12">
        <v>0</v>
      </c>
      <c r="F65" s="8">
        <v>0</v>
      </c>
      <c r="G65" s="12">
        <v>6</v>
      </c>
      <c r="H65" s="8">
        <v>5.36</v>
      </c>
      <c r="I65" s="12">
        <v>0</v>
      </c>
    </row>
    <row r="66" spans="2:9" ht="15" customHeight="1" x14ac:dyDescent="0.2">
      <c r="B66" t="s">
        <v>173</v>
      </c>
      <c r="C66" s="12">
        <v>6</v>
      </c>
      <c r="D66" s="8">
        <v>1.84</v>
      </c>
      <c r="E66" s="12">
        <v>5</v>
      </c>
      <c r="F66" s="8">
        <v>2.44</v>
      </c>
      <c r="G66" s="12">
        <v>1</v>
      </c>
      <c r="H66" s="8">
        <v>0.89</v>
      </c>
      <c r="I66" s="12">
        <v>0</v>
      </c>
    </row>
    <row r="67" spans="2:9" ht="15" customHeight="1" x14ac:dyDescent="0.2">
      <c r="B67" t="s">
        <v>155</v>
      </c>
      <c r="C67" s="12">
        <v>5</v>
      </c>
      <c r="D67" s="8">
        <v>1.53</v>
      </c>
      <c r="E67" s="12">
        <v>0</v>
      </c>
      <c r="F67" s="8">
        <v>0</v>
      </c>
      <c r="G67" s="12">
        <v>5</v>
      </c>
      <c r="H67" s="8">
        <v>4.46</v>
      </c>
      <c r="I67" s="12">
        <v>0</v>
      </c>
    </row>
    <row r="68" spans="2:9" ht="15" customHeight="1" x14ac:dyDescent="0.2">
      <c r="B68" t="s">
        <v>242</v>
      </c>
      <c r="C68" s="12">
        <v>5</v>
      </c>
      <c r="D68" s="8">
        <v>1.53</v>
      </c>
      <c r="E68" s="12">
        <v>5</v>
      </c>
      <c r="F68" s="8">
        <v>2.44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228</v>
      </c>
      <c r="C69" s="12">
        <v>4</v>
      </c>
      <c r="D69" s="8">
        <v>1.23</v>
      </c>
      <c r="E69" s="12">
        <v>3</v>
      </c>
      <c r="F69" s="8">
        <v>1.46</v>
      </c>
      <c r="G69" s="12">
        <v>1</v>
      </c>
      <c r="H69" s="8">
        <v>0.89</v>
      </c>
      <c r="I69" s="12">
        <v>0</v>
      </c>
    </row>
    <row r="70" spans="2:9" ht="15" customHeight="1" x14ac:dyDescent="0.2">
      <c r="B70" t="s">
        <v>181</v>
      </c>
      <c r="C70" s="12">
        <v>4</v>
      </c>
      <c r="D70" s="8">
        <v>1.23</v>
      </c>
      <c r="E70" s="12">
        <v>3</v>
      </c>
      <c r="F70" s="8">
        <v>1.46</v>
      </c>
      <c r="G70" s="12">
        <v>1</v>
      </c>
      <c r="H70" s="8">
        <v>0.89</v>
      </c>
      <c r="I70" s="12">
        <v>0</v>
      </c>
    </row>
    <row r="71" spans="2:9" ht="15" customHeight="1" x14ac:dyDescent="0.2">
      <c r="B71" t="s">
        <v>177</v>
      </c>
      <c r="C71" s="12">
        <v>4</v>
      </c>
      <c r="D71" s="8">
        <v>1.23</v>
      </c>
      <c r="E71" s="12">
        <v>4</v>
      </c>
      <c r="F71" s="8">
        <v>1.95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158</v>
      </c>
      <c r="C72" s="12">
        <v>4</v>
      </c>
      <c r="D72" s="8">
        <v>1.23</v>
      </c>
      <c r="E72" s="12">
        <v>4</v>
      </c>
      <c r="F72" s="8">
        <v>1.95</v>
      </c>
      <c r="G72" s="12">
        <v>0</v>
      </c>
      <c r="H72" s="8">
        <v>0</v>
      </c>
      <c r="I72" s="12">
        <v>0</v>
      </c>
    </row>
    <row r="74" spans="2:9" ht="15" customHeight="1" x14ac:dyDescent="0.2">
      <c r="B74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A1950-067D-49B4-9732-C92AF5C03B2D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340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115</v>
      </c>
      <c r="D6" s="8">
        <v>22.42</v>
      </c>
      <c r="E6" s="12">
        <v>24</v>
      </c>
      <c r="F6" s="8">
        <v>8.25</v>
      </c>
      <c r="G6" s="12">
        <v>91</v>
      </c>
      <c r="H6" s="8">
        <v>41.74</v>
      </c>
      <c r="I6" s="12">
        <v>0</v>
      </c>
    </row>
    <row r="7" spans="2:9" ht="15" customHeight="1" x14ac:dyDescent="0.2">
      <c r="B7" t="s">
        <v>77</v>
      </c>
      <c r="C7" s="12">
        <v>23</v>
      </c>
      <c r="D7" s="8">
        <v>4.4800000000000004</v>
      </c>
      <c r="E7" s="12">
        <v>13</v>
      </c>
      <c r="F7" s="8">
        <v>4.47</v>
      </c>
      <c r="G7" s="12">
        <v>10</v>
      </c>
      <c r="H7" s="8">
        <v>4.59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3</v>
      </c>
      <c r="D9" s="8">
        <v>0.57999999999999996</v>
      </c>
      <c r="E9" s="12">
        <v>0</v>
      </c>
      <c r="F9" s="8">
        <v>0</v>
      </c>
      <c r="G9" s="12">
        <v>3</v>
      </c>
      <c r="H9" s="8">
        <v>1.38</v>
      </c>
      <c r="I9" s="12">
        <v>0</v>
      </c>
    </row>
    <row r="10" spans="2:9" ht="15" customHeight="1" x14ac:dyDescent="0.2">
      <c r="B10" t="s">
        <v>80</v>
      </c>
      <c r="C10" s="12">
        <v>4</v>
      </c>
      <c r="D10" s="8">
        <v>0.78</v>
      </c>
      <c r="E10" s="12">
        <v>2</v>
      </c>
      <c r="F10" s="8">
        <v>0.69</v>
      </c>
      <c r="G10" s="12">
        <v>2</v>
      </c>
      <c r="H10" s="8">
        <v>0.92</v>
      </c>
      <c r="I10" s="12">
        <v>0</v>
      </c>
    </row>
    <row r="11" spans="2:9" ht="15" customHeight="1" x14ac:dyDescent="0.2">
      <c r="B11" t="s">
        <v>81</v>
      </c>
      <c r="C11" s="12">
        <v>101</v>
      </c>
      <c r="D11" s="8">
        <v>19.690000000000001</v>
      </c>
      <c r="E11" s="12">
        <v>66</v>
      </c>
      <c r="F11" s="8">
        <v>22.68</v>
      </c>
      <c r="G11" s="12">
        <v>35</v>
      </c>
      <c r="H11" s="8">
        <v>16.059999999999999</v>
      </c>
      <c r="I11" s="12">
        <v>0</v>
      </c>
    </row>
    <row r="12" spans="2:9" ht="15" customHeight="1" x14ac:dyDescent="0.2">
      <c r="B12" t="s">
        <v>82</v>
      </c>
      <c r="C12" s="12">
        <v>2</v>
      </c>
      <c r="D12" s="8">
        <v>0.39</v>
      </c>
      <c r="E12" s="12">
        <v>0</v>
      </c>
      <c r="F12" s="8">
        <v>0</v>
      </c>
      <c r="G12" s="12">
        <v>2</v>
      </c>
      <c r="H12" s="8">
        <v>0.92</v>
      </c>
      <c r="I12" s="12">
        <v>0</v>
      </c>
    </row>
    <row r="13" spans="2:9" ht="15" customHeight="1" x14ac:dyDescent="0.2">
      <c r="B13" t="s">
        <v>83</v>
      </c>
      <c r="C13" s="12">
        <v>39</v>
      </c>
      <c r="D13" s="8">
        <v>7.6</v>
      </c>
      <c r="E13" s="12">
        <v>15</v>
      </c>
      <c r="F13" s="8">
        <v>5.15</v>
      </c>
      <c r="G13" s="12">
        <v>24</v>
      </c>
      <c r="H13" s="8">
        <v>11.01</v>
      </c>
      <c r="I13" s="12">
        <v>0</v>
      </c>
    </row>
    <row r="14" spans="2:9" ht="15" customHeight="1" x14ac:dyDescent="0.2">
      <c r="B14" t="s">
        <v>84</v>
      </c>
      <c r="C14" s="12">
        <v>20</v>
      </c>
      <c r="D14" s="8">
        <v>3.9</v>
      </c>
      <c r="E14" s="12">
        <v>12</v>
      </c>
      <c r="F14" s="8">
        <v>4.12</v>
      </c>
      <c r="G14" s="12">
        <v>8</v>
      </c>
      <c r="H14" s="8">
        <v>3.67</v>
      </c>
      <c r="I14" s="12">
        <v>0</v>
      </c>
    </row>
    <row r="15" spans="2:9" ht="15" customHeight="1" x14ac:dyDescent="0.2">
      <c r="B15" t="s">
        <v>85</v>
      </c>
      <c r="C15" s="12">
        <v>54</v>
      </c>
      <c r="D15" s="8">
        <v>10.53</v>
      </c>
      <c r="E15" s="12">
        <v>48</v>
      </c>
      <c r="F15" s="8">
        <v>16.489999999999998</v>
      </c>
      <c r="G15" s="12">
        <v>5</v>
      </c>
      <c r="H15" s="8">
        <v>2.29</v>
      </c>
      <c r="I15" s="12">
        <v>0</v>
      </c>
    </row>
    <row r="16" spans="2:9" ht="15" customHeight="1" x14ac:dyDescent="0.2">
      <c r="B16" t="s">
        <v>86</v>
      </c>
      <c r="C16" s="12">
        <v>71</v>
      </c>
      <c r="D16" s="8">
        <v>13.84</v>
      </c>
      <c r="E16" s="12">
        <v>56</v>
      </c>
      <c r="F16" s="8">
        <v>19.239999999999998</v>
      </c>
      <c r="G16" s="12">
        <v>15</v>
      </c>
      <c r="H16" s="8">
        <v>6.88</v>
      </c>
      <c r="I16" s="12">
        <v>0</v>
      </c>
    </row>
    <row r="17" spans="2:9" ht="15" customHeight="1" x14ac:dyDescent="0.2">
      <c r="B17" t="s">
        <v>87</v>
      </c>
      <c r="C17" s="12">
        <v>22</v>
      </c>
      <c r="D17" s="8">
        <v>4.29</v>
      </c>
      <c r="E17" s="12">
        <v>19</v>
      </c>
      <c r="F17" s="8">
        <v>6.53</v>
      </c>
      <c r="G17" s="12">
        <v>2</v>
      </c>
      <c r="H17" s="8">
        <v>0.92</v>
      </c>
      <c r="I17" s="12">
        <v>0</v>
      </c>
    </row>
    <row r="18" spans="2:9" ht="15" customHeight="1" x14ac:dyDescent="0.2">
      <c r="B18" t="s">
        <v>88</v>
      </c>
      <c r="C18" s="12">
        <v>32</v>
      </c>
      <c r="D18" s="8">
        <v>6.24</v>
      </c>
      <c r="E18" s="12">
        <v>18</v>
      </c>
      <c r="F18" s="8">
        <v>6.19</v>
      </c>
      <c r="G18" s="12">
        <v>12</v>
      </c>
      <c r="H18" s="8">
        <v>5.5</v>
      </c>
      <c r="I18" s="12">
        <v>0</v>
      </c>
    </row>
    <row r="19" spans="2:9" ht="15" customHeight="1" x14ac:dyDescent="0.2">
      <c r="B19" t="s">
        <v>89</v>
      </c>
      <c r="C19" s="12">
        <v>27</v>
      </c>
      <c r="D19" s="8">
        <v>5.26</v>
      </c>
      <c r="E19" s="12">
        <v>18</v>
      </c>
      <c r="F19" s="8">
        <v>6.19</v>
      </c>
      <c r="G19" s="12">
        <v>9</v>
      </c>
      <c r="H19" s="8">
        <v>4.13</v>
      </c>
      <c r="I19" s="12">
        <v>0</v>
      </c>
    </row>
    <row r="20" spans="2:9" ht="15" customHeight="1" x14ac:dyDescent="0.2">
      <c r="B20" s="9" t="s">
        <v>285</v>
      </c>
      <c r="C20" s="12">
        <f>SUM(LTBL_40382[総数／事業所数])</f>
        <v>513</v>
      </c>
      <c r="E20" s="12">
        <f>SUBTOTAL(109,LTBL_40382[個人／事業所数])</f>
        <v>291</v>
      </c>
      <c r="G20" s="12">
        <f>SUBTOTAL(109,LTBL_40382[法人／事業所数])</f>
        <v>218</v>
      </c>
      <c r="I20" s="12">
        <f>SUBTOTAL(109,LTBL_40382[法人以外の団体／事業所数])</f>
        <v>0</v>
      </c>
    </row>
    <row r="21" spans="2:9" ht="15" customHeight="1" x14ac:dyDescent="0.2">
      <c r="E21" s="11">
        <f>LTBL_40382[[#Totals],[個人／事業所数]]/LTBL_40382[[#Totals],[総数／事業所数]]</f>
        <v>0.56725146198830412</v>
      </c>
      <c r="G21" s="11">
        <f>LTBL_40382[[#Totals],[法人／事業所数]]/LTBL_40382[[#Totals],[総数／事業所数]]</f>
        <v>0.42495126705653019</v>
      </c>
      <c r="I21" s="11">
        <f>LTBL_40382[[#Totals],[法人以外の団体／事業所数]]/LTBL_40382[[#Totals],[総数／事業所数]]</f>
        <v>0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98</v>
      </c>
      <c r="C24" s="12">
        <v>65</v>
      </c>
      <c r="D24" s="8">
        <v>12.67</v>
      </c>
      <c r="E24" s="12">
        <v>12</v>
      </c>
      <c r="F24" s="8">
        <v>4.12</v>
      </c>
      <c r="G24" s="12">
        <v>53</v>
      </c>
      <c r="H24" s="8">
        <v>24.31</v>
      </c>
      <c r="I24" s="12">
        <v>0</v>
      </c>
    </row>
    <row r="25" spans="2:9" ht="15" customHeight="1" x14ac:dyDescent="0.2">
      <c r="B25" t="s">
        <v>113</v>
      </c>
      <c r="C25" s="12">
        <v>60</v>
      </c>
      <c r="D25" s="8">
        <v>11.7</v>
      </c>
      <c r="E25" s="12">
        <v>51</v>
      </c>
      <c r="F25" s="8">
        <v>17.53</v>
      </c>
      <c r="G25" s="12">
        <v>9</v>
      </c>
      <c r="H25" s="8">
        <v>4.13</v>
      </c>
      <c r="I25" s="12">
        <v>0</v>
      </c>
    </row>
    <row r="26" spans="2:9" ht="15" customHeight="1" x14ac:dyDescent="0.2">
      <c r="B26" t="s">
        <v>112</v>
      </c>
      <c r="C26" s="12">
        <v>48</v>
      </c>
      <c r="D26" s="8">
        <v>9.36</v>
      </c>
      <c r="E26" s="12">
        <v>45</v>
      </c>
      <c r="F26" s="8">
        <v>15.46</v>
      </c>
      <c r="G26" s="12">
        <v>3</v>
      </c>
      <c r="H26" s="8">
        <v>1.38</v>
      </c>
      <c r="I26" s="12">
        <v>0</v>
      </c>
    </row>
    <row r="27" spans="2:9" ht="15" customHeight="1" x14ac:dyDescent="0.2">
      <c r="B27" t="s">
        <v>109</v>
      </c>
      <c r="C27" s="12">
        <v>29</v>
      </c>
      <c r="D27" s="8">
        <v>5.65</v>
      </c>
      <c r="E27" s="12">
        <v>12</v>
      </c>
      <c r="F27" s="8">
        <v>4.12</v>
      </c>
      <c r="G27" s="12">
        <v>17</v>
      </c>
      <c r="H27" s="8">
        <v>7.8</v>
      </c>
      <c r="I27" s="12">
        <v>0</v>
      </c>
    </row>
    <row r="28" spans="2:9" ht="15" customHeight="1" x14ac:dyDescent="0.2">
      <c r="B28" t="s">
        <v>99</v>
      </c>
      <c r="C28" s="12">
        <v>25</v>
      </c>
      <c r="D28" s="8">
        <v>4.87</v>
      </c>
      <c r="E28" s="12">
        <v>7</v>
      </c>
      <c r="F28" s="8">
        <v>2.41</v>
      </c>
      <c r="G28" s="12">
        <v>18</v>
      </c>
      <c r="H28" s="8">
        <v>8.26</v>
      </c>
      <c r="I28" s="12">
        <v>0</v>
      </c>
    </row>
    <row r="29" spans="2:9" ht="15" customHeight="1" x14ac:dyDescent="0.2">
      <c r="B29" t="s">
        <v>100</v>
      </c>
      <c r="C29" s="12">
        <v>25</v>
      </c>
      <c r="D29" s="8">
        <v>4.87</v>
      </c>
      <c r="E29" s="12">
        <v>5</v>
      </c>
      <c r="F29" s="8">
        <v>1.72</v>
      </c>
      <c r="G29" s="12">
        <v>20</v>
      </c>
      <c r="H29" s="8">
        <v>9.17</v>
      </c>
      <c r="I29" s="12">
        <v>0</v>
      </c>
    </row>
    <row r="30" spans="2:9" ht="15" customHeight="1" x14ac:dyDescent="0.2">
      <c r="B30" t="s">
        <v>105</v>
      </c>
      <c r="C30" s="12">
        <v>24</v>
      </c>
      <c r="D30" s="8">
        <v>4.68</v>
      </c>
      <c r="E30" s="12">
        <v>19</v>
      </c>
      <c r="F30" s="8">
        <v>6.53</v>
      </c>
      <c r="G30" s="12">
        <v>5</v>
      </c>
      <c r="H30" s="8">
        <v>2.29</v>
      </c>
      <c r="I30" s="12">
        <v>0</v>
      </c>
    </row>
    <row r="31" spans="2:9" ht="15" customHeight="1" x14ac:dyDescent="0.2">
      <c r="B31" t="s">
        <v>106</v>
      </c>
      <c r="C31" s="12">
        <v>24</v>
      </c>
      <c r="D31" s="8">
        <v>4.68</v>
      </c>
      <c r="E31" s="12">
        <v>19</v>
      </c>
      <c r="F31" s="8">
        <v>6.53</v>
      </c>
      <c r="G31" s="12">
        <v>5</v>
      </c>
      <c r="H31" s="8">
        <v>2.29</v>
      </c>
      <c r="I31" s="12">
        <v>0</v>
      </c>
    </row>
    <row r="32" spans="2:9" ht="15" customHeight="1" x14ac:dyDescent="0.2">
      <c r="B32" t="s">
        <v>107</v>
      </c>
      <c r="C32" s="12">
        <v>24</v>
      </c>
      <c r="D32" s="8">
        <v>4.68</v>
      </c>
      <c r="E32" s="12">
        <v>14</v>
      </c>
      <c r="F32" s="8">
        <v>4.8099999999999996</v>
      </c>
      <c r="G32" s="12">
        <v>10</v>
      </c>
      <c r="H32" s="8">
        <v>4.59</v>
      </c>
      <c r="I32" s="12">
        <v>0</v>
      </c>
    </row>
    <row r="33" spans="2:9" ht="15" customHeight="1" x14ac:dyDescent="0.2">
      <c r="B33" t="s">
        <v>114</v>
      </c>
      <c r="C33" s="12">
        <v>22</v>
      </c>
      <c r="D33" s="8">
        <v>4.29</v>
      </c>
      <c r="E33" s="12">
        <v>19</v>
      </c>
      <c r="F33" s="8">
        <v>6.53</v>
      </c>
      <c r="G33" s="12">
        <v>2</v>
      </c>
      <c r="H33" s="8">
        <v>0.92</v>
      </c>
      <c r="I33" s="12">
        <v>0</v>
      </c>
    </row>
    <row r="34" spans="2:9" ht="15" customHeight="1" x14ac:dyDescent="0.2">
      <c r="B34" t="s">
        <v>115</v>
      </c>
      <c r="C34" s="12">
        <v>20</v>
      </c>
      <c r="D34" s="8">
        <v>3.9</v>
      </c>
      <c r="E34" s="12">
        <v>18</v>
      </c>
      <c r="F34" s="8">
        <v>6.19</v>
      </c>
      <c r="G34" s="12">
        <v>2</v>
      </c>
      <c r="H34" s="8">
        <v>0.92</v>
      </c>
      <c r="I34" s="12">
        <v>0</v>
      </c>
    </row>
    <row r="35" spans="2:9" ht="15" customHeight="1" x14ac:dyDescent="0.2">
      <c r="B35" t="s">
        <v>123</v>
      </c>
      <c r="C35" s="12">
        <v>19</v>
      </c>
      <c r="D35" s="8">
        <v>3.7</v>
      </c>
      <c r="E35" s="12">
        <v>16</v>
      </c>
      <c r="F35" s="8">
        <v>5.5</v>
      </c>
      <c r="G35" s="12">
        <v>3</v>
      </c>
      <c r="H35" s="8">
        <v>1.38</v>
      </c>
      <c r="I35" s="12">
        <v>0</v>
      </c>
    </row>
    <row r="36" spans="2:9" ht="15" customHeight="1" x14ac:dyDescent="0.2">
      <c r="B36" t="s">
        <v>110</v>
      </c>
      <c r="C36" s="12">
        <v>12</v>
      </c>
      <c r="D36" s="8">
        <v>2.34</v>
      </c>
      <c r="E36" s="12">
        <v>8</v>
      </c>
      <c r="F36" s="8">
        <v>2.75</v>
      </c>
      <c r="G36" s="12">
        <v>4</v>
      </c>
      <c r="H36" s="8">
        <v>1.83</v>
      </c>
      <c r="I36" s="12">
        <v>0</v>
      </c>
    </row>
    <row r="37" spans="2:9" ht="15" customHeight="1" x14ac:dyDescent="0.2">
      <c r="B37" t="s">
        <v>116</v>
      </c>
      <c r="C37" s="12">
        <v>12</v>
      </c>
      <c r="D37" s="8">
        <v>2.34</v>
      </c>
      <c r="E37" s="12">
        <v>0</v>
      </c>
      <c r="F37" s="8">
        <v>0</v>
      </c>
      <c r="G37" s="12">
        <v>10</v>
      </c>
      <c r="H37" s="8">
        <v>4.59</v>
      </c>
      <c r="I37" s="12">
        <v>0</v>
      </c>
    </row>
    <row r="38" spans="2:9" ht="15" customHeight="1" x14ac:dyDescent="0.2">
      <c r="B38" t="s">
        <v>103</v>
      </c>
      <c r="C38" s="12">
        <v>8</v>
      </c>
      <c r="D38" s="8">
        <v>1.56</v>
      </c>
      <c r="E38" s="12">
        <v>2</v>
      </c>
      <c r="F38" s="8">
        <v>0.69</v>
      </c>
      <c r="G38" s="12">
        <v>6</v>
      </c>
      <c r="H38" s="8">
        <v>2.75</v>
      </c>
      <c r="I38" s="12">
        <v>0</v>
      </c>
    </row>
    <row r="39" spans="2:9" ht="15" customHeight="1" x14ac:dyDescent="0.2">
      <c r="B39" t="s">
        <v>111</v>
      </c>
      <c r="C39" s="12">
        <v>8</v>
      </c>
      <c r="D39" s="8">
        <v>1.56</v>
      </c>
      <c r="E39" s="12">
        <v>4</v>
      </c>
      <c r="F39" s="8">
        <v>1.37</v>
      </c>
      <c r="G39" s="12">
        <v>4</v>
      </c>
      <c r="H39" s="8">
        <v>1.83</v>
      </c>
      <c r="I39" s="12">
        <v>0</v>
      </c>
    </row>
    <row r="40" spans="2:9" ht="15" customHeight="1" x14ac:dyDescent="0.2">
      <c r="B40" t="s">
        <v>118</v>
      </c>
      <c r="C40" s="12">
        <v>8</v>
      </c>
      <c r="D40" s="8">
        <v>1.56</v>
      </c>
      <c r="E40" s="12">
        <v>3</v>
      </c>
      <c r="F40" s="8">
        <v>1.03</v>
      </c>
      <c r="G40" s="12">
        <v>5</v>
      </c>
      <c r="H40" s="8">
        <v>2.29</v>
      </c>
      <c r="I40" s="12">
        <v>0</v>
      </c>
    </row>
    <row r="41" spans="2:9" ht="15" customHeight="1" x14ac:dyDescent="0.2">
      <c r="B41" t="s">
        <v>131</v>
      </c>
      <c r="C41" s="12">
        <v>7</v>
      </c>
      <c r="D41" s="8">
        <v>1.36</v>
      </c>
      <c r="E41" s="12">
        <v>4</v>
      </c>
      <c r="F41" s="8">
        <v>1.37</v>
      </c>
      <c r="G41" s="12">
        <v>3</v>
      </c>
      <c r="H41" s="8">
        <v>1.38</v>
      </c>
      <c r="I41" s="12">
        <v>0</v>
      </c>
    </row>
    <row r="42" spans="2:9" ht="15" customHeight="1" x14ac:dyDescent="0.2">
      <c r="B42" t="s">
        <v>104</v>
      </c>
      <c r="C42" s="12">
        <v>7</v>
      </c>
      <c r="D42" s="8">
        <v>1.36</v>
      </c>
      <c r="E42" s="12">
        <v>6</v>
      </c>
      <c r="F42" s="8">
        <v>2.06</v>
      </c>
      <c r="G42" s="12">
        <v>1</v>
      </c>
      <c r="H42" s="8">
        <v>0.46</v>
      </c>
      <c r="I42" s="12">
        <v>0</v>
      </c>
    </row>
    <row r="43" spans="2:9" ht="15" customHeight="1" x14ac:dyDescent="0.2">
      <c r="B43" t="s">
        <v>108</v>
      </c>
      <c r="C43" s="12">
        <v>7</v>
      </c>
      <c r="D43" s="8">
        <v>1.36</v>
      </c>
      <c r="E43" s="12">
        <v>1</v>
      </c>
      <c r="F43" s="8">
        <v>0.34</v>
      </c>
      <c r="G43" s="12">
        <v>6</v>
      </c>
      <c r="H43" s="8">
        <v>2.75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154</v>
      </c>
      <c r="C47" s="12">
        <v>43</v>
      </c>
      <c r="D47" s="8">
        <v>8.3800000000000008</v>
      </c>
      <c r="E47" s="12">
        <v>6</v>
      </c>
      <c r="F47" s="8">
        <v>2.06</v>
      </c>
      <c r="G47" s="12">
        <v>37</v>
      </c>
      <c r="H47" s="8">
        <v>16.97</v>
      </c>
      <c r="I47" s="12">
        <v>0</v>
      </c>
    </row>
    <row r="48" spans="2:9" ht="15" customHeight="1" x14ac:dyDescent="0.2">
      <c r="B48" t="s">
        <v>170</v>
      </c>
      <c r="C48" s="12">
        <v>33</v>
      </c>
      <c r="D48" s="8">
        <v>6.43</v>
      </c>
      <c r="E48" s="12">
        <v>28</v>
      </c>
      <c r="F48" s="8">
        <v>9.6199999999999992</v>
      </c>
      <c r="G48" s="12">
        <v>5</v>
      </c>
      <c r="H48" s="8">
        <v>2.29</v>
      </c>
      <c r="I48" s="12">
        <v>0</v>
      </c>
    </row>
    <row r="49" spans="2:9" ht="15" customHeight="1" x14ac:dyDescent="0.2">
      <c r="B49" t="s">
        <v>164</v>
      </c>
      <c r="C49" s="12">
        <v>21</v>
      </c>
      <c r="D49" s="8">
        <v>4.09</v>
      </c>
      <c r="E49" s="12">
        <v>12</v>
      </c>
      <c r="F49" s="8">
        <v>4.12</v>
      </c>
      <c r="G49" s="12">
        <v>9</v>
      </c>
      <c r="H49" s="8">
        <v>4.13</v>
      </c>
      <c r="I49" s="12">
        <v>0</v>
      </c>
    </row>
    <row r="50" spans="2:9" ht="15" customHeight="1" x14ac:dyDescent="0.2">
      <c r="B50" t="s">
        <v>169</v>
      </c>
      <c r="C50" s="12">
        <v>19</v>
      </c>
      <c r="D50" s="8">
        <v>3.7</v>
      </c>
      <c r="E50" s="12">
        <v>19</v>
      </c>
      <c r="F50" s="8">
        <v>6.53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173</v>
      </c>
      <c r="C51" s="12">
        <v>19</v>
      </c>
      <c r="D51" s="8">
        <v>3.7</v>
      </c>
      <c r="E51" s="12">
        <v>16</v>
      </c>
      <c r="F51" s="8">
        <v>5.5</v>
      </c>
      <c r="G51" s="12">
        <v>3</v>
      </c>
      <c r="H51" s="8">
        <v>1.38</v>
      </c>
      <c r="I51" s="12">
        <v>0</v>
      </c>
    </row>
    <row r="52" spans="2:9" ht="15" customHeight="1" x14ac:dyDescent="0.2">
      <c r="B52" t="s">
        <v>159</v>
      </c>
      <c r="C52" s="12">
        <v>17</v>
      </c>
      <c r="D52" s="8">
        <v>3.31</v>
      </c>
      <c r="E52" s="12">
        <v>14</v>
      </c>
      <c r="F52" s="8">
        <v>4.8099999999999996</v>
      </c>
      <c r="G52" s="12">
        <v>3</v>
      </c>
      <c r="H52" s="8">
        <v>1.38</v>
      </c>
      <c r="I52" s="12">
        <v>0</v>
      </c>
    </row>
    <row r="53" spans="2:9" ht="15" customHeight="1" x14ac:dyDescent="0.2">
      <c r="B53" t="s">
        <v>171</v>
      </c>
      <c r="C53" s="12">
        <v>15</v>
      </c>
      <c r="D53" s="8">
        <v>2.92</v>
      </c>
      <c r="E53" s="12">
        <v>14</v>
      </c>
      <c r="F53" s="8">
        <v>4.8099999999999996</v>
      </c>
      <c r="G53" s="12">
        <v>1</v>
      </c>
      <c r="H53" s="8">
        <v>0.46</v>
      </c>
      <c r="I53" s="12">
        <v>0</v>
      </c>
    </row>
    <row r="54" spans="2:9" ht="15" customHeight="1" x14ac:dyDescent="0.2">
      <c r="B54" t="s">
        <v>172</v>
      </c>
      <c r="C54" s="12">
        <v>14</v>
      </c>
      <c r="D54" s="8">
        <v>2.73</v>
      </c>
      <c r="E54" s="12">
        <v>13</v>
      </c>
      <c r="F54" s="8">
        <v>4.47</v>
      </c>
      <c r="G54" s="12">
        <v>1</v>
      </c>
      <c r="H54" s="8">
        <v>0.46</v>
      </c>
      <c r="I54" s="12">
        <v>0</v>
      </c>
    </row>
    <row r="55" spans="2:9" ht="15" customHeight="1" x14ac:dyDescent="0.2">
      <c r="B55" t="s">
        <v>166</v>
      </c>
      <c r="C55" s="12">
        <v>13</v>
      </c>
      <c r="D55" s="8">
        <v>2.5299999999999998</v>
      </c>
      <c r="E55" s="12">
        <v>12</v>
      </c>
      <c r="F55" s="8">
        <v>4.12</v>
      </c>
      <c r="G55" s="12">
        <v>1</v>
      </c>
      <c r="H55" s="8">
        <v>0.46</v>
      </c>
      <c r="I55" s="12">
        <v>0</v>
      </c>
    </row>
    <row r="56" spans="2:9" ht="15" customHeight="1" x14ac:dyDescent="0.2">
      <c r="B56" t="s">
        <v>155</v>
      </c>
      <c r="C56" s="12">
        <v>12</v>
      </c>
      <c r="D56" s="8">
        <v>2.34</v>
      </c>
      <c r="E56" s="12">
        <v>2</v>
      </c>
      <c r="F56" s="8">
        <v>0.69</v>
      </c>
      <c r="G56" s="12">
        <v>10</v>
      </c>
      <c r="H56" s="8">
        <v>4.59</v>
      </c>
      <c r="I56" s="12">
        <v>0</v>
      </c>
    </row>
    <row r="57" spans="2:9" ht="15" customHeight="1" x14ac:dyDescent="0.2">
      <c r="B57" t="s">
        <v>156</v>
      </c>
      <c r="C57" s="12">
        <v>12</v>
      </c>
      <c r="D57" s="8">
        <v>2.34</v>
      </c>
      <c r="E57" s="12">
        <v>4</v>
      </c>
      <c r="F57" s="8">
        <v>1.37</v>
      </c>
      <c r="G57" s="12">
        <v>8</v>
      </c>
      <c r="H57" s="8">
        <v>3.67</v>
      </c>
      <c r="I57" s="12">
        <v>0</v>
      </c>
    </row>
    <row r="58" spans="2:9" ht="15" customHeight="1" x14ac:dyDescent="0.2">
      <c r="B58" t="s">
        <v>167</v>
      </c>
      <c r="C58" s="12">
        <v>11</v>
      </c>
      <c r="D58" s="8">
        <v>2.14</v>
      </c>
      <c r="E58" s="12">
        <v>11</v>
      </c>
      <c r="F58" s="8">
        <v>3.78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174</v>
      </c>
      <c r="C59" s="12">
        <v>10</v>
      </c>
      <c r="D59" s="8">
        <v>1.95</v>
      </c>
      <c r="E59" s="12">
        <v>1</v>
      </c>
      <c r="F59" s="8">
        <v>0.34</v>
      </c>
      <c r="G59" s="12">
        <v>9</v>
      </c>
      <c r="H59" s="8">
        <v>4.13</v>
      </c>
      <c r="I59" s="12">
        <v>0</v>
      </c>
    </row>
    <row r="60" spans="2:9" ht="15" customHeight="1" x14ac:dyDescent="0.2">
      <c r="B60" t="s">
        <v>161</v>
      </c>
      <c r="C60" s="12">
        <v>10</v>
      </c>
      <c r="D60" s="8">
        <v>1.95</v>
      </c>
      <c r="E60" s="12">
        <v>8</v>
      </c>
      <c r="F60" s="8">
        <v>2.75</v>
      </c>
      <c r="G60" s="12">
        <v>2</v>
      </c>
      <c r="H60" s="8">
        <v>0.92</v>
      </c>
      <c r="I60" s="12">
        <v>0</v>
      </c>
    </row>
    <row r="61" spans="2:9" ht="15" customHeight="1" x14ac:dyDescent="0.2">
      <c r="B61" t="s">
        <v>168</v>
      </c>
      <c r="C61" s="12">
        <v>10</v>
      </c>
      <c r="D61" s="8">
        <v>1.95</v>
      </c>
      <c r="E61" s="12">
        <v>10</v>
      </c>
      <c r="F61" s="8">
        <v>3.44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158</v>
      </c>
      <c r="C62" s="12">
        <v>8</v>
      </c>
      <c r="D62" s="8">
        <v>1.56</v>
      </c>
      <c r="E62" s="12">
        <v>7</v>
      </c>
      <c r="F62" s="8">
        <v>2.41</v>
      </c>
      <c r="G62" s="12">
        <v>1</v>
      </c>
      <c r="H62" s="8">
        <v>0.46</v>
      </c>
      <c r="I62" s="12">
        <v>0</v>
      </c>
    </row>
    <row r="63" spans="2:9" ht="15" customHeight="1" x14ac:dyDescent="0.2">
      <c r="B63" t="s">
        <v>186</v>
      </c>
      <c r="C63" s="12">
        <v>7</v>
      </c>
      <c r="D63" s="8">
        <v>1.36</v>
      </c>
      <c r="E63" s="12">
        <v>3</v>
      </c>
      <c r="F63" s="8">
        <v>1.03</v>
      </c>
      <c r="G63" s="12">
        <v>4</v>
      </c>
      <c r="H63" s="8">
        <v>1.83</v>
      </c>
      <c r="I63" s="12">
        <v>0</v>
      </c>
    </row>
    <row r="64" spans="2:9" ht="15" customHeight="1" x14ac:dyDescent="0.2">
      <c r="B64" t="s">
        <v>208</v>
      </c>
      <c r="C64" s="12">
        <v>7</v>
      </c>
      <c r="D64" s="8">
        <v>1.36</v>
      </c>
      <c r="E64" s="12">
        <v>5</v>
      </c>
      <c r="F64" s="8">
        <v>1.72</v>
      </c>
      <c r="G64" s="12">
        <v>2</v>
      </c>
      <c r="H64" s="8">
        <v>0.92</v>
      </c>
      <c r="I64" s="12">
        <v>0</v>
      </c>
    </row>
    <row r="65" spans="2:9" ht="15" customHeight="1" x14ac:dyDescent="0.2">
      <c r="B65" t="s">
        <v>181</v>
      </c>
      <c r="C65" s="12">
        <v>6</v>
      </c>
      <c r="D65" s="8">
        <v>1.17</v>
      </c>
      <c r="E65" s="12">
        <v>3</v>
      </c>
      <c r="F65" s="8">
        <v>1.03</v>
      </c>
      <c r="G65" s="12">
        <v>3</v>
      </c>
      <c r="H65" s="8">
        <v>1.38</v>
      </c>
      <c r="I65" s="12">
        <v>0</v>
      </c>
    </row>
    <row r="66" spans="2:9" ht="15" customHeight="1" x14ac:dyDescent="0.2">
      <c r="B66" t="s">
        <v>160</v>
      </c>
      <c r="C66" s="12">
        <v>6</v>
      </c>
      <c r="D66" s="8">
        <v>1.17</v>
      </c>
      <c r="E66" s="12">
        <v>2</v>
      </c>
      <c r="F66" s="8">
        <v>0.69</v>
      </c>
      <c r="G66" s="12">
        <v>4</v>
      </c>
      <c r="H66" s="8">
        <v>1.83</v>
      </c>
      <c r="I66" s="12">
        <v>0</v>
      </c>
    </row>
    <row r="67" spans="2:9" ht="15" customHeight="1" x14ac:dyDescent="0.2">
      <c r="B67" t="s">
        <v>220</v>
      </c>
      <c r="C67" s="12">
        <v>6</v>
      </c>
      <c r="D67" s="8">
        <v>1.17</v>
      </c>
      <c r="E67" s="12">
        <v>5</v>
      </c>
      <c r="F67" s="8">
        <v>1.72</v>
      </c>
      <c r="G67" s="12">
        <v>1</v>
      </c>
      <c r="H67" s="8">
        <v>0.46</v>
      </c>
      <c r="I67" s="12">
        <v>0</v>
      </c>
    </row>
    <row r="69" spans="2:9" ht="15" customHeight="1" x14ac:dyDescent="0.2">
      <c r="B69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8D76E-2EBC-4919-B593-A56617CBBFF7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341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124</v>
      </c>
      <c r="D6" s="8">
        <v>23.44</v>
      </c>
      <c r="E6" s="12">
        <v>35</v>
      </c>
      <c r="F6" s="8">
        <v>12.41</v>
      </c>
      <c r="G6" s="12">
        <v>89</v>
      </c>
      <c r="H6" s="8">
        <v>36.33</v>
      </c>
      <c r="I6" s="12">
        <v>0</v>
      </c>
    </row>
    <row r="7" spans="2:9" ht="15" customHeight="1" x14ac:dyDescent="0.2">
      <c r="B7" t="s">
        <v>77</v>
      </c>
      <c r="C7" s="12">
        <v>31</v>
      </c>
      <c r="D7" s="8">
        <v>5.86</v>
      </c>
      <c r="E7" s="12">
        <v>10</v>
      </c>
      <c r="F7" s="8">
        <v>3.55</v>
      </c>
      <c r="G7" s="12">
        <v>21</v>
      </c>
      <c r="H7" s="8">
        <v>8.57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5</v>
      </c>
      <c r="D9" s="8">
        <v>0.95</v>
      </c>
      <c r="E9" s="12">
        <v>0</v>
      </c>
      <c r="F9" s="8">
        <v>0</v>
      </c>
      <c r="G9" s="12">
        <v>5</v>
      </c>
      <c r="H9" s="8">
        <v>2.04</v>
      </c>
      <c r="I9" s="12">
        <v>0</v>
      </c>
    </row>
    <row r="10" spans="2:9" ht="15" customHeight="1" x14ac:dyDescent="0.2">
      <c r="B10" t="s">
        <v>80</v>
      </c>
      <c r="C10" s="12">
        <v>6</v>
      </c>
      <c r="D10" s="8">
        <v>1.1299999999999999</v>
      </c>
      <c r="E10" s="12">
        <v>1</v>
      </c>
      <c r="F10" s="8">
        <v>0.35</v>
      </c>
      <c r="G10" s="12">
        <v>5</v>
      </c>
      <c r="H10" s="8">
        <v>2.04</v>
      </c>
      <c r="I10" s="12">
        <v>0</v>
      </c>
    </row>
    <row r="11" spans="2:9" ht="15" customHeight="1" x14ac:dyDescent="0.2">
      <c r="B11" t="s">
        <v>81</v>
      </c>
      <c r="C11" s="12">
        <v>116</v>
      </c>
      <c r="D11" s="8">
        <v>21.93</v>
      </c>
      <c r="E11" s="12">
        <v>71</v>
      </c>
      <c r="F11" s="8">
        <v>25.18</v>
      </c>
      <c r="G11" s="12">
        <v>45</v>
      </c>
      <c r="H11" s="8">
        <v>18.37</v>
      </c>
      <c r="I11" s="12">
        <v>0</v>
      </c>
    </row>
    <row r="12" spans="2:9" ht="15" customHeight="1" x14ac:dyDescent="0.2">
      <c r="B12" t="s">
        <v>82</v>
      </c>
      <c r="C12" s="12">
        <v>4</v>
      </c>
      <c r="D12" s="8">
        <v>0.76</v>
      </c>
      <c r="E12" s="12">
        <v>0</v>
      </c>
      <c r="F12" s="8">
        <v>0</v>
      </c>
      <c r="G12" s="12">
        <v>4</v>
      </c>
      <c r="H12" s="8">
        <v>1.63</v>
      </c>
      <c r="I12" s="12">
        <v>0</v>
      </c>
    </row>
    <row r="13" spans="2:9" ht="15" customHeight="1" x14ac:dyDescent="0.2">
      <c r="B13" t="s">
        <v>83</v>
      </c>
      <c r="C13" s="12">
        <v>23</v>
      </c>
      <c r="D13" s="8">
        <v>4.3499999999999996</v>
      </c>
      <c r="E13" s="12">
        <v>7</v>
      </c>
      <c r="F13" s="8">
        <v>2.48</v>
      </c>
      <c r="G13" s="12">
        <v>16</v>
      </c>
      <c r="H13" s="8">
        <v>6.53</v>
      </c>
      <c r="I13" s="12">
        <v>0</v>
      </c>
    </row>
    <row r="14" spans="2:9" ht="15" customHeight="1" x14ac:dyDescent="0.2">
      <c r="B14" t="s">
        <v>84</v>
      </c>
      <c r="C14" s="12">
        <v>24</v>
      </c>
      <c r="D14" s="8">
        <v>4.54</v>
      </c>
      <c r="E14" s="12">
        <v>16</v>
      </c>
      <c r="F14" s="8">
        <v>5.67</v>
      </c>
      <c r="G14" s="12">
        <v>8</v>
      </c>
      <c r="H14" s="8">
        <v>3.27</v>
      </c>
      <c r="I14" s="12">
        <v>0</v>
      </c>
    </row>
    <row r="15" spans="2:9" ht="15" customHeight="1" x14ac:dyDescent="0.2">
      <c r="B15" t="s">
        <v>85</v>
      </c>
      <c r="C15" s="12">
        <v>49</v>
      </c>
      <c r="D15" s="8">
        <v>9.26</v>
      </c>
      <c r="E15" s="12">
        <v>39</v>
      </c>
      <c r="F15" s="8">
        <v>13.83</v>
      </c>
      <c r="G15" s="12">
        <v>9</v>
      </c>
      <c r="H15" s="8">
        <v>3.67</v>
      </c>
      <c r="I15" s="12">
        <v>0</v>
      </c>
    </row>
    <row r="16" spans="2:9" ht="15" customHeight="1" x14ac:dyDescent="0.2">
      <c r="B16" t="s">
        <v>86</v>
      </c>
      <c r="C16" s="12">
        <v>74</v>
      </c>
      <c r="D16" s="8">
        <v>13.99</v>
      </c>
      <c r="E16" s="12">
        <v>60</v>
      </c>
      <c r="F16" s="8">
        <v>21.28</v>
      </c>
      <c r="G16" s="12">
        <v>14</v>
      </c>
      <c r="H16" s="8">
        <v>5.71</v>
      </c>
      <c r="I16" s="12">
        <v>0</v>
      </c>
    </row>
    <row r="17" spans="2:9" ht="15" customHeight="1" x14ac:dyDescent="0.2">
      <c r="B17" t="s">
        <v>87</v>
      </c>
      <c r="C17" s="12">
        <v>24</v>
      </c>
      <c r="D17" s="8">
        <v>4.54</v>
      </c>
      <c r="E17" s="12">
        <v>20</v>
      </c>
      <c r="F17" s="8">
        <v>7.09</v>
      </c>
      <c r="G17" s="12">
        <v>4</v>
      </c>
      <c r="H17" s="8">
        <v>1.63</v>
      </c>
      <c r="I17" s="12">
        <v>0</v>
      </c>
    </row>
    <row r="18" spans="2:9" ht="15" customHeight="1" x14ac:dyDescent="0.2">
      <c r="B18" t="s">
        <v>88</v>
      </c>
      <c r="C18" s="12">
        <v>24</v>
      </c>
      <c r="D18" s="8">
        <v>4.54</v>
      </c>
      <c r="E18" s="12">
        <v>9</v>
      </c>
      <c r="F18" s="8">
        <v>3.19</v>
      </c>
      <c r="G18" s="12">
        <v>15</v>
      </c>
      <c r="H18" s="8">
        <v>6.12</v>
      </c>
      <c r="I18" s="12">
        <v>0</v>
      </c>
    </row>
    <row r="19" spans="2:9" ht="15" customHeight="1" x14ac:dyDescent="0.2">
      <c r="B19" t="s">
        <v>89</v>
      </c>
      <c r="C19" s="12">
        <v>25</v>
      </c>
      <c r="D19" s="8">
        <v>4.7300000000000004</v>
      </c>
      <c r="E19" s="12">
        <v>14</v>
      </c>
      <c r="F19" s="8">
        <v>4.96</v>
      </c>
      <c r="G19" s="12">
        <v>10</v>
      </c>
      <c r="H19" s="8">
        <v>4.08</v>
      </c>
      <c r="I19" s="12">
        <v>0</v>
      </c>
    </row>
    <row r="20" spans="2:9" ht="15" customHeight="1" x14ac:dyDescent="0.2">
      <c r="B20" s="9" t="s">
        <v>285</v>
      </c>
      <c r="C20" s="12">
        <f>SUM(LTBL_40383[総数／事業所数])</f>
        <v>529</v>
      </c>
      <c r="E20" s="12">
        <f>SUBTOTAL(109,LTBL_40383[個人／事業所数])</f>
        <v>282</v>
      </c>
      <c r="G20" s="12">
        <f>SUBTOTAL(109,LTBL_40383[法人／事業所数])</f>
        <v>245</v>
      </c>
      <c r="I20" s="12">
        <f>SUBTOTAL(109,LTBL_40383[法人以外の団体／事業所数])</f>
        <v>0</v>
      </c>
    </row>
    <row r="21" spans="2:9" ht="15" customHeight="1" x14ac:dyDescent="0.2">
      <c r="E21" s="11">
        <f>LTBL_40383[[#Totals],[個人／事業所数]]/LTBL_40383[[#Totals],[総数／事業所数]]</f>
        <v>0.53308128544423439</v>
      </c>
      <c r="G21" s="11">
        <f>LTBL_40383[[#Totals],[法人／事業所数]]/LTBL_40383[[#Totals],[総数／事業所数]]</f>
        <v>0.46313799621928164</v>
      </c>
      <c r="I21" s="11">
        <f>LTBL_40383[[#Totals],[法人以外の団体／事業所数]]/LTBL_40383[[#Totals],[総数／事業所数]]</f>
        <v>0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63</v>
      </c>
      <c r="D24" s="8">
        <v>11.91</v>
      </c>
      <c r="E24" s="12">
        <v>55</v>
      </c>
      <c r="F24" s="8">
        <v>19.5</v>
      </c>
      <c r="G24" s="12">
        <v>8</v>
      </c>
      <c r="H24" s="8">
        <v>3.27</v>
      </c>
      <c r="I24" s="12">
        <v>0</v>
      </c>
    </row>
    <row r="25" spans="2:9" ht="15" customHeight="1" x14ac:dyDescent="0.2">
      <c r="B25" t="s">
        <v>98</v>
      </c>
      <c r="C25" s="12">
        <v>49</v>
      </c>
      <c r="D25" s="8">
        <v>9.26</v>
      </c>
      <c r="E25" s="12">
        <v>10</v>
      </c>
      <c r="F25" s="8">
        <v>3.55</v>
      </c>
      <c r="G25" s="12">
        <v>39</v>
      </c>
      <c r="H25" s="8">
        <v>15.92</v>
      </c>
      <c r="I25" s="12">
        <v>0</v>
      </c>
    </row>
    <row r="26" spans="2:9" ht="15" customHeight="1" x14ac:dyDescent="0.2">
      <c r="B26" t="s">
        <v>112</v>
      </c>
      <c r="C26" s="12">
        <v>42</v>
      </c>
      <c r="D26" s="8">
        <v>7.94</v>
      </c>
      <c r="E26" s="12">
        <v>38</v>
      </c>
      <c r="F26" s="8">
        <v>13.48</v>
      </c>
      <c r="G26" s="12">
        <v>4</v>
      </c>
      <c r="H26" s="8">
        <v>1.63</v>
      </c>
      <c r="I26" s="12">
        <v>0</v>
      </c>
    </row>
    <row r="27" spans="2:9" ht="15" customHeight="1" x14ac:dyDescent="0.2">
      <c r="B27" t="s">
        <v>99</v>
      </c>
      <c r="C27" s="12">
        <v>39</v>
      </c>
      <c r="D27" s="8">
        <v>7.37</v>
      </c>
      <c r="E27" s="12">
        <v>15</v>
      </c>
      <c r="F27" s="8">
        <v>5.32</v>
      </c>
      <c r="G27" s="12">
        <v>24</v>
      </c>
      <c r="H27" s="8">
        <v>9.8000000000000007</v>
      </c>
      <c r="I27" s="12">
        <v>0</v>
      </c>
    </row>
    <row r="28" spans="2:9" ht="15" customHeight="1" x14ac:dyDescent="0.2">
      <c r="B28" t="s">
        <v>100</v>
      </c>
      <c r="C28" s="12">
        <v>36</v>
      </c>
      <c r="D28" s="8">
        <v>6.81</v>
      </c>
      <c r="E28" s="12">
        <v>10</v>
      </c>
      <c r="F28" s="8">
        <v>3.55</v>
      </c>
      <c r="G28" s="12">
        <v>26</v>
      </c>
      <c r="H28" s="8">
        <v>10.61</v>
      </c>
      <c r="I28" s="12">
        <v>0</v>
      </c>
    </row>
    <row r="29" spans="2:9" ht="15" customHeight="1" x14ac:dyDescent="0.2">
      <c r="B29" t="s">
        <v>105</v>
      </c>
      <c r="C29" s="12">
        <v>36</v>
      </c>
      <c r="D29" s="8">
        <v>6.81</v>
      </c>
      <c r="E29" s="12">
        <v>27</v>
      </c>
      <c r="F29" s="8">
        <v>9.57</v>
      </c>
      <c r="G29" s="12">
        <v>9</v>
      </c>
      <c r="H29" s="8">
        <v>3.67</v>
      </c>
      <c r="I29" s="12">
        <v>0</v>
      </c>
    </row>
    <row r="30" spans="2:9" ht="15" customHeight="1" x14ac:dyDescent="0.2">
      <c r="B30" t="s">
        <v>107</v>
      </c>
      <c r="C30" s="12">
        <v>31</v>
      </c>
      <c r="D30" s="8">
        <v>5.86</v>
      </c>
      <c r="E30" s="12">
        <v>19</v>
      </c>
      <c r="F30" s="8">
        <v>6.74</v>
      </c>
      <c r="G30" s="12">
        <v>12</v>
      </c>
      <c r="H30" s="8">
        <v>4.9000000000000004</v>
      </c>
      <c r="I30" s="12">
        <v>0</v>
      </c>
    </row>
    <row r="31" spans="2:9" ht="15" customHeight="1" x14ac:dyDescent="0.2">
      <c r="B31" t="s">
        <v>114</v>
      </c>
      <c r="C31" s="12">
        <v>24</v>
      </c>
      <c r="D31" s="8">
        <v>4.54</v>
      </c>
      <c r="E31" s="12">
        <v>20</v>
      </c>
      <c r="F31" s="8">
        <v>7.09</v>
      </c>
      <c r="G31" s="12">
        <v>4</v>
      </c>
      <c r="H31" s="8">
        <v>1.63</v>
      </c>
      <c r="I31" s="12">
        <v>0</v>
      </c>
    </row>
    <row r="32" spans="2:9" ht="15" customHeight="1" x14ac:dyDescent="0.2">
      <c r="B32" t="s">
        <v>106</v>
      </c>
      <c r="C32" s="12">
        <v>17</v>
      </c>
      <c r="D32" s="8">
        <v>3.21</v>
      </c>
      <c r="E32" s="12">
        <v>11</v>
      </c>
      <c r="F32" s="8">
        <v>3.9</v>
      </c>
      <c r="G32" s="12">
        <v>6</v>
      </c>
      <c r="H32" s="8">
        <v>2.4500000000000002</v>
      </c>
      <c r="I32" s="12">
        <v>0</v>
      </c>
    </row>
    <row r="33" spans="2:9" ht="15" customHeight="1" x14ac:dyDescent="0.2">
      <c r="B33" t="s">
        <v>109</v>
      </c>
      <c r="C33" s="12">
        <v>14</v>
      </c>
      <c r="D33" s="8">
        <v>2.65</v>
      </c>
      <c r="E33" s="12">
        <v>4</v>
      </c>
      <c r="F33" s="8">
        <v>1.42</v>
      </c>
      <c r="G33" s="12">
        <v>10</v>
      </c>
      <c r="H33" s="8">
        <v>4.08</v>
      </c>
      <c r="I33" s="12">
        <v>0</v>
      </c>
    </row>
    <row r="34" spans="2:9" ht="15" customHeight="1" x14ac:dyDescent="0.2">
      <c r="B34" t="s">
        <v>110</v>
      </c>
      <c r="C34" s="12">
        <v>14</v>
      </c>
      <c r="D34" s="8">
        <v>2.65</v>
      </c>
      <c r="E34" s="12">
        <v>11</v>
      </c>
      <c r="F34" s="8">
        <v>3.9</v>
      </c>
      <c r="G34" s="12">
        <v>3</v>
      </c>
      <c r="H34" s="8">
        <v>1.22</v>
      </c>
      <c r="I34" s="12">
        <v>0</v>
      </c>
    </row>
    <row r="35" spans="2:9" ht="15" customHeight="1" x14ac:dyDescent="0.2">
      <c r="B35" t="s">
        <v>115</v>
      </c>
      <c r="C35" s="12">
        <v>13</v>
      </c>
      <c r="D35" s="8">
        <v>2.46</v>
      </c>
      <c r="E35" s="12">
        <v>9</v>
      </c>
      <c r="F35" s="8">
        <v>3.19</v>
      </c>
      <c r="G35" s="12">
        <v>4</v>
      </c>
      <c r="H35" s="8">
        <v>1.63</v>
      </c>
      <c r="I35" s="12">
        <v>0</v>
      </c>
    </row>
    <row r="36" spans="2:9" ht="15" customHeight="1" x14ac:dyDescent="0.2">
      <c r="B36" t="s">
        <v>116</v>
      </c>
      <c r="C36" s="12">
        <v>11</v>
      </c>
      <c r="D36" s="8">
        <v>2.08</v>
      </c>
      <c r="E36" s="12">
        <v>0</v>
      </c>
      <c r="F36" s="8">
        <v>0</v>
      </c>
      <c r="G36" s="12">
        <v>11</v>
      </c>
      <c r="H36" s="8">
        <v>4.49</v>
      </c>
      <c r="I36" s="12">
        <v>0</v>
      </c>
    </row>
    <row r="37" spans="2:9" ht="15" customHeight="1" x14ac:dyDescent="0.2">
      <c r="B37" t="s">
        <v>123</v>
      </c>
      <c r="C37" s="12">
        <v>11</v>
      </c>
      <c r="D37" s="8">
        <v>2.08</v>
      </c>
      <c r="E37" s="12">
        <v>8</v>
      </c>
      <c r="F37" s="8">
        <v>2.84</v>
      </c>
      <c r="G37" s="12">
        <v>3</v>
      </c>
      <c r="H37" s="8">
        <v>1.22</v>
      </c>
      <c r="I37" s="12">
        <v>0</v>
      </c>
    </row>
    <row r="38" spans="2:9" ht="15" customHeight="1" x14ac:dyDescent="0.2">
      <c r="B38" t="s">
        <v>111</v>
      </c>
      <c r="C38" s="12">
        <v>10</v>
      </c>
      <c r="D38" s="8">
        <v>1.89</v>
      </c>
      <c r="E38" s="12">
        <v>5</v>
      </c>
      <c r="F38" s="8">
        <v>1.77</v>
      </c>
      <c r="G38" s="12">
        <v>5</v>
      </c>
      <c r="H38" s="8">
        <v>2.04</v>
      </c>
      <c r="I38" s="12">
        <v>0</v>
      </c>
    </row>
    <row r="39" spans="2:9" ht="15" customHeight="1" x14ac:dyDescent="0.2">
      <c r="B39" t="s">
        <v>118</v>
      </c>
      <c r="C39" s="12">
        <v>10</v>
      </c>
      <c r="D39" s="8">
        <v>1.89</v>
      </c>
      <c r="E39" s="12">
        <v>4</v>
      </c>
      <c r="F39" s="8">
        <v>1.42</v>
      </c>
      <c r="G39" s="12">
        <v>6</v>
      </c>
      <c r="H39" s="8">
        <v>2.4500000000000002</v>
      </c>
      <c r="I39" s="12">
        <v>0</v>
      </c>
    </row>
    <row r="40" spans="2:9" ht="15" customHeight="1" x14ac:dyDescent="0.2">
      <c r="B40" t="s">
        <v>108</v>
      </c>
      <c r="C40" s="12">
        <v>8</v>
      </c>
      <c r="D40" s="8">
        <v>1.51</v>
      </c>
      <c r="E40" s="12">
        <v>3</v>
      </c>
      <c r="F40" s="8">
        <v>1.06</v>
      </c>
      <c r="G40" s="12">
        <v>5</v>
      </c>
      <c r="H40" s="8">
        <v>2.04</v>
      </c>
      <c r="I40" s="12">
        <v>0</v>
      </c>
    </row>
    <row r="41" spans="2:9" ht="15" customHeight="1" x14ac:dyDescent="0.2">
      <c r="B41" t="s">
        <v>117</v>
      </c>
      <c r="C41" s="12">
        <v>8</v>
      </c>
      <c r="D41" s="8">
        <v>1.51</v>
      </c>
      <c r="E41" s="12">
        <v>1</v>
      </c>
      <c r="F41" s="8">
        <v>0.35</v>
      </c>
      <c r="G41" s="12">
        <v>6</v>
      </c>
      <c r="H41" s="8">
        <v>2.4500000000000002</v>
      </c>
      <c r="I41" s="12">
        <v>0</v>
      </c>
    </row>
    <row r="42" spans="2:9" ht="15" customHeight="1" x14ac:dyDescent="0.2">
      <c r="B42" t="s">
        <v>101</v>
      </c>
      <c r="C42" s="12">
        <v>7</v>
      </c>
      <c r="D42" s="8">
        <v>1.32</v>
      </c>
      <c r="E42" s="12">
        <v>3</v>
      </c>
      <c r="F42" s="8">
        <v>1.06</v>
      </c>
      <c r="G42" s="12">
        <v>4</v>
      </c>
      <c r="H42" s="8">
        <v>1.63</v>
      </c>
      <c r="I42" s="12">
        <v>0</v>
      </c>
    </row>
    <row r="43" spans="2:9" ht="15" customHeight="1" x14ac:dyDescent="0.2">
      <c r="B43" t="s">
        <v>104</v>
      </c>
      <c r="C43" s="12">
        <v>7</v>
      </c>
      <c r="D43" s="8">
        <v>1.32</v>
      </c>
      <c r="E43" s="12">
        <v>4</v>
      </c>
      <c r="F43" s="8">
        <v>1.42</v>
      </c>
      <c r="G43" s="12">
        <v>3</v>
      </c>
      <c r="H43" s="8">
        <v>1.22</v>
      </c>
      <c r="I43" s="12">
        <v>0</v>
      </c>
    </row>
    <row r="44" spans="2:9" ht="15" customHeight="1" x14ac:dyDescent="0.2">
      <c r="B44" t="s">
        <v>126</v>
      </c>
      <c r="C44" s="12">
        <v>7</v>
      </c>
      <c r="D44" s="8">
        <v>1.32</v>
      </c>
      <c r="E44" s="12">
        <v>3</v>
      </c>
      <c r="F44" s="8">
        <v>1.06</v>
      </c>
      <c r="G44" s="12">
        <v>4</v>
      </c>
      <c r="H44" s="8">
        <v>1.63</v>
      </c>
      <c r="I44" s="12">
        <v>0</v>
      </c>
    </row>
    <row r="47" spans="2:9" ht="33" customHeight="1" x14ac:dyDescent="0.2">
      <c r="B47" t="s">
        <v>287</v>
      </c>
      <c r="C47" s="10" t="s">
        <v>91</v>
      </c>
      <c r="D47" s="10" t="s">
        <v>92</v>
      </c>
      <c r="E47" s="10" t="s">
        <v>93</v>
      </c>
      <c r="F47" s="10" t="s">
        <v>94</v>
      </c>
      <c r="G47" s="10" t="s">
        <v>95</v>
      </c>
      <c r="H47" s="10" t="s">
        <v>96</v>
      </c>
      <c r="I47" s="10" t="s">
        <v>97</v>
      </c>
    </row>
    <row r="48" spans="2:9" ht="15" customHeight="1" x14ac:dyDescent="0.2">
      <c r="B48" t="s">
        <v>170</v>
      </c>
      <c r="C48" s="12">
        <v>37</v>
      </c>
      <c r="D48" s="8">
        <v>6.99</v>
      </c>
      <c r="E48" s="12">
        <v>34</v>
      </c>
      <c r="F48" s="8">
        <v>12.06</v>
      </c>
      <c r="G48" s="12">
        <v>3</v>
      </c>
      <c r="H48" s="8">
        <v>1.22</v>
      </c>
      <c r="I48" s="12">
        <v>0</v>
      </c>
    </row>
    <row r="49" spans="2:9" ht="15" customHeight="1" x14ac:dyDescent="0.2">
      <c r="B49" t="s">
        <v>169</v>
      </c>
      <c r="C49" s="12">
        <v>19</v>
      </c>
      <c r="D49" s="8">
        <v>3.59</v>
      </c>
      <c r="E49" s="12">
        <v>18</v>
      </c>
      <c r="F49" s="8">
        <v>6.38</v>
      </c>
      <c r="G49" s="12">
        <v>1</v>
      </c>
      <c r="H49" s="8">
        <v>0.41</v>
      </c>
      <c r="I49" s="12">
        <v>0</v>
      </c>
    </row>
    <row r="50" spans="2:9" ht="15" customHeight="1" x14ac:dyDescent="0.2">
      <c r="B50" t="s">
        <v>154</v>
      </c>
      <c r="C50" s="12">
        <v>18</v>
      </c>
      <c r="D50" s="8">
        <v>3.4</v>
      </c>
      <c r="E50" s="12">
        <v>2</v>
      </c>
      <c r="F50" s="8">
        <v>0.71</v>
      </c>
      <c r="G50" s="12">
        <v>16</v>
      </c>
      <c r="H50" s="8">
        <v>6.53</v>
      </c>
      <c r="I50" s="12">
        <v>0</v>
      </c>
    </row>
    <row r="51" spans="2:9" ht="15" customHeight="1" x14ac:dyDescent="0.2">
      <c r="B51" t="s">
        <v>171</v>
      </c>
      <c r="C51" s="12">
        <v>16</v>
      </c>
      <c r="D51" s="8">
        <v>3.02</v>
      </c>
      <c r="E51" s="12">
        <v>15</v>
      </c>
      <c r="F51" s="8">
        <v>5.32</v>
      </c>
      <c r="G51" s="12">
        <v>1</v>
      </c>
      <c r="H51" s="8">
        <v>0.41</v>
      </c>
      <c r="I51" s="12">
        <v>0</v>
      </c>
    </row>
    <row r="52" spans="2:9" ht="15" customHeight="1" x14ac:dyDescent="0.2">
      <c r="B52" t="s">
        <v>174</v>
      </c>
      <c r="C52" s="12">
        <v>15</v>
      </c>
      <c r="D52" s="8">
        <v>2.84</v>
      </c>
      <c r="E52" s="12">
        <v>5</v>
      </c>
      <c r="F52" s="8">
        <v>1.77</v>
      </c>
      <c r="G52" s="12">
        <v>10</v>
      </c>
      <c r="H52" s="8">
        <v>4.08</v>
      </c>
      <c r="I52" s="12">
        <v>0</v>
      </c>
    </row>
    <row r="53" spans="2:9" ht="15" customHeight="1" x14ac:dyDescent="0.2">
      <c r="B53" t="s">
        <v>156</v>
      </c>
      <c r="C53" s="12">
        <v>14</v>
      </c>
      <c r="D53" s="8">
        <v>2.65</v>
      </c>
      <c r="E53" s="12">
        <v>5</v>
      </c>
      <c r="F53" s="8">
        <v>1.77</v>
      </c>
      <c r="G53" s="12">
        <v>9</v>
      </c>
      <c r="H53" s="8">
        <v>3.67</v>
      </c>
      <c r="I53" s="12">
        <v>0</v>
      </c>
    </row>
    <row r="54" spans="2:9" ht="15" customHeight="1" x14ac:dyDescent="0.2">
      <c r="B54" t="s">
        <v>160</v>
      </c>
      <c r="C54" s="12">
        <v>14</v>
      </c>
      <c r="D54" s="8">
        <v>2.65</v>
      </c>
      <c r="E54" s="12">
        <v>7</v>
      </c>
      <c r="F54" s="8">
        <v>2.48</v>
      </c>
      <c r="G54" s="12">
        <v>7</v>
      </c>
      <c r="H54" s="8">
        <v>2.86</v>
      </c>
      <c r="I54" s="12">
        <v>0</v>
      </c>
    </row>
    <row r="55" spans="2:9" ht="15" customHeight="1" x14ac:dyDescent="0.2">
      <c r="B55" t="s">
        <v>187</v>
      </c>
      <c r="C55" s="12">
        <v>11</v>
      </c>
      <c r="D55" s="8">
        <v>2.08</v>
      </c>
      <c r="E55" s="12">
        <v>3</v>
      </c>
      <c r="F55" s="8">
        <v>1.06</v>
      </c>
      <c r="G55" s="12">
        <v>8</v>
      </c>
      <c r="H55" s="8">
        <v>3.27</v>
      </c>
      <c r="I55" s="12">
        <v>0</v>
      </c>
    </row>
    <row r="56" spans="2:9" ht="15" customHeight="1" x14ac:dyDescent="0.2">
      <c r="B56" t="s">
        <v>159</v>
      </c>
      <c r="C56" s="12">
        <v>11</v>
      </c>
      <c r="D56" s="8">
        <v>2.08</v>
      </c>
      <c r="E56" s="12">
        <v>7</v>
      </c>
      <c r="F56" s="8">
        <v>2.48</v>
      </c>
      <c r="G56" s="12">
        <v>4</v>
      </c>
      <c r="H56" s="8">
        <v>1.63</v>
      </c>
      <c r="I56" s="12">
        <v>0</v>
      </c>
    </row>
    <row r="57" spans="2:9" ht="15" customHeight="1" x14ac:dyDescent="0.2">
      <c r="B57" t="s">
        <v>167</v>
      </c>
      <c r="C57" s="12">
        <v>11</v>
      </c>
      <c r="D57" s="8">
        <v>2.08</v>
      </c>
      <c r="E57" s="12">
        <v>11</v>
      </c>
      <c r="F57" s="8">
        <v>3.9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173</v>
      </c>
      <c r="C58" s="12">
        <v>11</v>
      </c>
      <c r="D58" s="8">
        <v>2.08</v>
      </c>
      <c r="E58" s="12">
        <v>8</v>
      </c>
      <c r="F58" s="8">
        <v>2.84</v>
      </c>
      <c r="G58" s="12">
        <v>3</v>
      </c>
      <c r="H58" s="8">
        <v>1.22</v>
      </c>
      <c r="I58" s="12">
        <v>0</v>
      </c>
    </row>
    <row r="59" spans="2:9" ht="15" customHeight="1" x14ac:dyDescent="0.2">
      <c r="B59" t="s">
        <v>158</v>
      </c>
      <c r="C59" s="12">
        <v>10</v>
      </c>
      <c r="D59" s="8">
        <v>1.89</v>
      </c>
      <c r="E59" s="12">
        <v>8</v>
      </c>
      <c r="F59" s="8">
        <v>2.84</v>
      </c>
      <c r="G59" s="12">
        <v>2</v>
      </c>
      <c r="H59" s="8">
        <v>0.82</v>
      </c>
      <c r="I59" s="12">
        <v>0</v>
      </c>
    </row>
    <row r="60" spans="2:9" ht="15" customHeight="1" x14ac:dyDescent="0.2">
      <c r="B60" t="s">
        <v>155</v>
      </c>
      <c r="C60" s="12">
        <v>9</v>
      </c>
      <c r="D60" s="8">
        <v>1.7</v>
      </c>
      <c r="E60" s="12">
        <v>3</v>
      </c>
      <c r="F60" s="8">
        <v>1.06</v>
      </c>
      <c r="G60" s="12">
        <v>6</v>
      </c>
      <c r="H60" s="8">
        <v>2.4500000000000002</v>
      </c>
      <c r="I60" s="12">
        <v>0</v>
      </c>
    </row>
    <row r="61" spans="2:9" ht="15" customHeight="1" x14ac:dyDescent="0.2">
      <c r="B61" t="s">
        <v>203</v>
      </c>
      <c r="C61" s="12">
        <v>9</v>
      </c>
      <c r="D61" s="8">
        <v>1.7</v>
      </c>
      <c r="E61" s="12">
        <v>2</v>
      </c>
      <c r="F61" s="8">
        <v>0.71</v>
      </c>
      <c r="G61" s="12">
        <v>7</v>
      </c>
      <c r="H61" s="8">
        <v>2.86</v>
      </c>
      <c r="I61" s="12">
        <v>0</v>
      </c>
    </row>
    <row r="62" spans="2:9" ht="15" customHeight="1" x14ac:dyDescent="0.2">
      <c r="B62" t="s">
        <v>164</v>
      </c>
      <c r="C62" s="12">
        <v>9</v>
      </c>
      <c r="D62" s="8">
        <v>1.7</v>
      </c>
      <c r="E62" s="12">
        <v>1</v>
      </c>
      <c r="F62" s="8">
        <v>0.35</v>
      </c>
      <c r="G62" s="12">
        <v>8</v>
      </c>
      <c r="H62" s="8">
        <v>3.27</v>
      </c>
      <c r="I62" s="12">
        <v>0</v>
      </c>
    </row>
    <row r="63" spans="2:9" ht="15" customHeight="1" x14ac:dyDescent="0.2">
      <c r="B63" t="s">
        <v>166</v>
      </c>
      <c r="C63" s="12">
        <v>9</v>
      </c>
      <c r="D63" s="8">
        <v>1.7</v>
      </c>
      <c r="E63" s="12">
        <v>8</v>
      </c>
      <c r="F63" s="8">
        <v>2.84</v>
      </c>
      <c r="G63" s="12">
        <v>1</v>
      </c>
      <c r="H63" s="8">
        <v>0.41</v>
      </c>
      <c r="I63" s="12">
        <v>0</v>
      </c>
    </row>
    <row r="64" spans="2:9" ht="15" customHeight="1" x14ac:dyDescent="0.2">
      <c r="B64" t="s">
        <v>228</v>
      </c>
      <c r="C64" s="12">
        <v>8</v>
      </c>
      <c r="D64" s="8">
        <v>1.51</v>
      </c>
      <c r="E64" s="12">
        <v>0</v>
      </c>
      <c r="F64" s="8">
        <v>0</v>
      </c>
      <c r="G64" s="12">
        <v>8</v>
      </c>
      <c r="H64" s="8">
        <v>3.27</v>
      </c>
      <c r="I64" s="12">
        <v>0</v>
      </c>
    </row>
    <row r="65" spans="2:9" ht="15" customHeight="1" x14ac:dyDescent="0.2">
      <c r="B65" t="s">
        <v>168</v>
      </c>
      <c r="C65" s="12">
        <v>8</v>
      </c>
      <c r="D65" s="8">
        <v>1.51</v>
      </c>
      <c r="E65" s="12">
        <v>8</v>
      </c>
      <c r="F65" s="8">
        <v>2.84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220</v>
      </c>
      <c r="C66" s="12">
        <v>8</v>
      </c>
      <c r="D66" s="8">
        <v>1.51</v>
      </c>
      <c r="E66" s="12">
        <v>5</v>
      </c>
      <c r="F66" s="8">
        <v>1.77</v>
      </c>
      <c r="G66" s="12">
        <v>3</v>
      </c>
      <c r="H66" s="8">
        <v>1.22</v>
      </c>
      <c r="I66" s="12">
        <v>0</v>
      </c>
    </row>
    <row r="67" spans="2:9" ht="15" customHeight="1" x14ac:dyDescent="0.2">
      <c r="B67" t="s">
        <v>172</v>
      </c>
      <c r="C67" s="12">
        <v>8</v>
      </c>
      <c r="D67" s="8">
        <v>1.51</v>
      </c>
      <c r="E67" s="12">
        <v>7</v>
      </c>
      <c r="F67" s="8">
        <v>2.48</v>
      </c>
      <c r="G67" s="12">
        <v>1</v>
      </c>
      <c r="H67" s="8">
        <v>0.41</v>
      </c>
      <c r="I67" s="12">
        <v>0</v>
      </c>
    </row>
    <row r="69" spans="2:9" ht="15" customHeight="1" x14ac:dyDescent="0.2">
      <c r="B69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0F289-89CD-4F9A-A726-56EDDD5248B1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342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105</v>
      </c>
      <c r="D6" s="8">
        <v>20.39</v>
      </c>
      <c r="E6" s="12">
        <v>34</v>
      </c>
      <c r="F6" s="8">
        <v>11.97</v>
      </c>
      <c r="G6" s="12">
        <v>71</v>
      </c>
      <c r="H6" s="8">
        <v>31</v>
      </c>
      <c r="I6" s="12">
        <v>0</v>
      </c>
    </row>
    <row r="7" spans="2:9" ht="15" customHeight="1" x14ac:dyDescent="0.2">
      <c r="B7" t="s">
        <v>77</v>
      </c>
      <c r="C7" s="12">
        <v>53</v>
      </c>
      <c r="D7" s="8">
        <v>10.29</v>
      </c>
      <c r="E7" s="12">
        <v>15</v>
      </c>
      <c r="F7" s="8">
        <v>5.28</v>
      </c>
      <c r="G7" s="12">
        <v>38</v>
      </c>
      <c r="H7" s="8">
        <v>16.59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2</v>
      </c>
      <c r="D9" s="8">
        <v>0.39</v>
      </c>
      <c r="E9" s="12">
        <v>1</v>
      </c>
      <c r="F9" s="8">
        <v>0.35</v>
      </c>
      <c r="G9" s="12">
        <v>1</v>
      </c>
      <c r="H9" s="8">
        <v>0.44</v>
      </c>
      <c r="I9" s="12">
        <v>0</v>
      </c>
    </row>
    <row r="10" spans="2:9" ht="15" customHeight="1" x14ac:dyDescent="0.2">
      <c r="B10" t="s">
        <v>80</v>
      </c>
      <c r="C10" s="12">
        <v>2</v>
      </c>
      <c r="D10" s="8">
        <v>0.39</v>
      </c>
      <c r="E10" s="12">
        <v>0</v>
      </c>
      <c r="F10" s="8">
        <v>0</v>
      </c>
      <c r="G10" s="12">
        <v>2</v>
      </c>
      <c r="H10" s="8">
        <v>0.87</v>
      </c>
      <c r="I10" s="12">
        <v>0</v>
      </c>
    </row>
    <row r="11" spans="2:9" ht="15" customHeight="1" x14ac:dyDescent="0.2">
      <c r="B11" t="s">
        <v>81</v>
      </c>
      <c r="C11" s="12">
        <v>113</v>
      </c>
      <c r="D11" s="8">
        <v>21.94</v>
      </c>
      <c r="E11" s="12">
        <v>61</v>
      </c>
      <c r="F11" s="8">
        <v>21.48</v>
      </c>
      <c r="G11" s="12">
        <v>52</v>
      </c>
      <c r="H11" s="8">
        <v>22.71</v>
      </c>
      <c r="I11" s="12">
        <v>0</v>
      </c>
    </row>
    <row r="12" spans="2:9" ht="15" customHeight="1" x14ac:dyDescent="0.2">
      <c r="B12" t="s">
        <v>82</v>
      </c>
      <c r="C12" s="12">
        <v>3</v>
      </c>
      <c r="D12" s="8">
        <v>0.57999999999999996</v>
      </c>
      <c r="E12" s="12">
        <v>0</v>
      </c>
      <c r="F12" s="8">
        <v>0</v>
      </c>
      <c r="G12" s="12">
        <v>3</v>
      </c>
      <c r="H12" s="8">
        <v>1.31</v>
      </c>
      <c r="I12" s="12">
        <v>0</v>
      </c>
    </row>
    <row r="13" spans="2:9" ht="15" customHeight="1" x14ac:dyDescent="0.2">
      <c r="B13" t="s">
        <v>83</v>
      </c>
      <c r="C13" s="12">
        <v>25</v>
      </c>
      <c r="D13" s="8">
        <v>4.8499999999999996</v>
      </c>
      <c r="E13" s="12">
        <v>12</v>
      </c>
      <c r="F13" s="8">
        <v>4.2300000000000004</v>
      </c>
      <c r="G13" s="12">
        <v>13</v>
      </c>
      <c r="H13" s="8">
        <v>5.68</v>
      </c>
      <c r="I13" s="12">
        <v>0</v>
      </c>
    </row>
    <row r="14" spans="2:9" ht="15" customHeight="1" x14ac:dyDescent="0.2">
      <c r="B14" t="s">
        <v>84</v>
      </c>
      <c r="C14" s="12">
        <v>16</v>
      </c>
      <c r="D14" s="8">
        <v>3.11</v>
      </c>
      <c r="E14" s="12">
        <v>9</v>
      </c>
      <c r="F14" s="8">
        <v>3.17</v>
      </c>
      <c r="G14" s="12">
        <v>7</v>
      </c>
      <c r="H14" s="8">
        <v>3.06</v>
      </c>
      <c r="I14" s="12">
        <v>0</v>
      </c>
    </row>
    <row r="15" spans="2:9" ht="15" customHeight="1" x14ac:dyDescent="0.2">
      <c r="B15" t="s">
        <v>85</v>
      </c>
      <c r="C15" s="12">
        <v>62</v>
      </c>
      <c r="D15" s="8">
        <v>12.04</v>
      </c>
      <c r="E15" s="12">
        <v>54</v>
      </c>
      <c r="F15" s="8">
        <v>19.010000000000002</v>
      </c>
      <c r="G15" s="12">
        <v>7</v>
      </c>
      <c r="H15" s="8">
        <v>3.06</v>
      </c>
      <c r="I15" s="12">
        <v>0</v>
      </c>
    </row>
    <row r="16" spans="2:9" ht="15" customHeight="1" x14ac:dyDescent="0.2">
      <c r="B16" t="s">
        <v>86</v>
      </c>
      <c r="C16" s="12">
        <v>59</v>
      </c>
      <c r="D16" s="8">
        <v>11.46</v>
      </c>
      <c r="E16" s="12">
        <v>47</v>
      </c>
      <c r="F16" s="8">
        <v>16.55</v>
      </c>
      <c r="G16" s="12">
        <v>12</v>
      </c>
      <c r="H16" s="8">
        <v>5.24</v>
      </c>
      <c r="I16" s="12">
        <v>0</v>
      </c>
    </row>
    <row r="17" spans="2:9" ht="15" customHeight="1" x14ac:dyDescent="0.2">
      <c r="B17" t="s">
        <v>87</v>
      </c>
      <c r="C17" s="12">
        <v>15</v>
      </c>
      <c r="D17" s="8">
        <v>2.91</v>
      </c>
      <c r="E17" s="12">
        <v>10</v>
      </c>
      <c r="F17" s="8">
        <v>3.52</v>
      </c>
      <c r="G17" s="12">
        <v>4</v>
      </c>
      <c r="H17" s="8">
        <v>1.75</v>
      </c>
      <c r="I17" s="12">
        <v>0</v>
      </c>
    </row>
    <row r="18" spans="2:9" ht="15" customHeight="1" x14ac:dyDescent="0.2">
      <c r="B18" t="s">
        <v>88</v>
      </c>
      <c r="C18" s="12">
        <v>22</v>
      </c>
      <c r="D18" s="8">
        <v>4.2699999999999996</v>
      </c>
      <c r="E18" s="12">
        <v>13</v>
      </c>
      <c r="F18" s="8">
        <v>4.58</v>
      </c>
      <c r="G18" s="12">
        <v>9</v>
      </c>
      <c r="H18" s="8">
        <v>3.93</v>
      </c>
      <c r="I18" s="12">
        <v>0</v>
      </c>
    </row>
    <row r="19" spans="2:9" ht="15" customHeight="1" x14ac:dyDescent="0.2">
      <c r="B19" t="s">
        <v>89</v>
      </c>
      <c r="C19" s="12">
        <v>38</v>
      </c>
      <c r="D19" s="8">
        <v>7.38</v>
      </c>
      <c r="E19" s="12">
        <v>28</v>
      </c>
      <c r="F19" s="8">
        <v>9.86</v>
      </c>
      <c r="G19" s="12">
        <v>10</v>
      </c>
      <c r="H19" s="8">
        <v>4.37</v>
      </c>
      <c r="I19" s="12">
        <v>0</v>
      </c>
    </row>
    <row r="20" spans="2:9" ht="15" customHeight="1" x14ac:dyDescent="0.2">
      <c r="B20" s="9" t="s">
        <v>285</v>
      </c>
      <c r="C20" s="12">
        <f>SUM(LTBL_40384[総数／事業所数])</f>
        <v>515</v>
      </c>
      <c r="E20" s="12">
        <f>SUBTOTAL(109,LTBL_40384[個人／事業所数])</f>
        <v>284</v>
      </c>
      <c r="G20" s="12">
        <f>SUBTOTAL(109,LTBL_40384[法人／事業所数])</f>
        <v>229</v>
      </c>
      <c r="I20" s="12">
        <f>SUBTOTAL(109,LTBL_40384[法人以外の団体／事業所数])</f>
        <v>0</v>
      </c>
    </row>
    <row r="21" spans="2:9" ht="15" customHeight="1" x14ac:dyDescent="0.2">
      <c r="E21" s="11">
        <f>LTBL_40384[[#Totals],[個人／事業所数]]/LTBL_40384[[#Totals],[総数／事業所数]]</f>
        <v>0.55145631067961165</v>
      </c>
      <c r="G21" s="11">
        <f>LTBL_40384[[#Totals],[法人／事業所数]]/LTBL_40384[[#Totals],[総数／事業所数]]</f>
        <v>0.44466019417475727</v>
      </c>
      <c r="I21" s="11">
        <f>LTBL_40384[[#Totals],[法人以外の団体／事業所数]]/LTBL_40384[[#Totals],[総数／事業所数]]</f>
        <v>0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112</v>
      </c>
      <c r="C24" s="12">
        <v>56</v>
      </c>
      <c r="D24" s="8">
        <v>10.87</v>
      </c>
      <c r="E24" s="12">
        <v>52</v>
      </c>
      <c r="F24" s="8">
        <v>18.309999999999999</v>
      </c>
      <c r="G24" s="12">
        <v>4</v>
      </c>
      <c r="H24" s="8">
        <v>1.75</v>
      </c>
      <c r="I24" s="12">
        <v>0</v>
      </c>
    </row>
    <row r="25" spans="2:9" ht="15" customHeight="1" x14ac:dyDescent="0.2">
      <c r="B25" t="s">
        <v>98</v>
      </c>
      <c r="C25" s="12">
        <v>50</v>
      </c>
      <c r="D25" s="8">
        <v>9.7100000000000009</v>
      </c>
      <c r="E25" s="12">
        <v>13</v>
      </c>
      <c r="F25" s="8">
        <v>4.58</v>
      </c>
      <c r="G25" s="12">
        <v>37</v>
      </c>
      <c r="H25" s="8">
        <v>16.16</v>
      </c>
      <c r="I25" s="12">
        <v>0</v>
      </c>
    </row>
    <row r="26" spans="2:9" ht="15" customHeight="1" x14ac:dyDescent="0.2">
      <c r="B26" t="s">
        <v>113</v>
      </c>
      <c r="C26" s="12">
        <v>48</v>
      </c>
      <c r="D26" s="8">
        <v>9.32</v>
      </c>
      <c r="E26" s="12">
        <v>41</v>
      </c>
      <c r="F26" s="8">
        <v>14.44</v>
      </c>
      <c r="G26" s="12">
        <v>7</v>
      </c>
      <c r="H26" s="8">
        <v>3.06</v>
      </c>
      <c r="I26" s="12">
        <v>0</v>
      </c>
    </row>
    <row r="27" spans="2:9" ht="15" customHeight="1" x14ac:dyDescent="0.2">
      <c r="B27" t="s">
        <v>99</v>
      </c>
      <c r="C27" s="12">
        <v>36</v>
      </c>
      <c r="D27" s="8">
        <v>6.99</v>
      </c>
      <c r="E27" s="12">
        <v>16</v>
      </c>
      <c r="F27" s="8">
        <v>5.63</v>
      </c>
      <c r="G27" s="12">
        <v>20</v>
      </c>
      <c r="H27" s="8">
        <v>8.73</v>
      </c>
      <c r="I27" s="12">
        <v>0</v>
      </c>
    </row>
    <row r="28" spans="2:9" ht="15" customHeight="1" x14ac:dyDescent="0.2">
      <c r="B28" t="s">
        <v>123</v>
      </c>
      <c r="C28" s="12">
        <v>28</v>
      </c>
      <c r="D28" s="8">
        <v>5.44</v>
      </c>
      <c r="E28" s="12">
        <v>24</v>
      </c>
      <c r="F28" s="8">
        <v>8.4499999999999993</v>
      </c>
      <c r="G28" s="12">
        <v>4</v>
      </c>
      <c r="H28" s="8">
        <v>1.75</v>
      </c>
      <c r="I28" s="12">
        <v>0</v>
      </c>
    </row>
    <row r="29" spans="2:9" ht="15" customHeight="1" x14ac:dyDescent="0.2">
      <c r="B29" t="s">
        <v>105</v>
      </c>
      <c r="C29" s="12">
        <v>26</v>
      </c>
      <c r="D29" s="8">
        <v>5.05</v>
      </c>
      <c r="E29" s="12">
        <v>21</v>
      </c>
      <c r="F29" s="8">
        <v>7.39</v>
      </c>
      <c r="G29" s="12">
        <v>5</v>
      </c>
      <c r="H29" s="8">
        <v>2.1800000000000002</v>
      </c>
      <c r="I29" s="12">
        <v>0</v>
      </c>
    </row>
    <row r="30" spans="2:9" ht="15" customHeight="1" x14ac:dyDescent="0.2">
      <c r="B30" t="s">
        <v>107</v>
      </c>
      <c r="C30" s="12">
        <v>22</v>
      </c>
      <c r="D30" s="8">
        <v>4.2699999999999996</v>
      </c>
      <c r="E30" s="12">
        <v>10</v>
      </c>
      <c r="F30" s="8">
        <v>3.52</v>
      </c>
      <c r="G30" s="12">
        <v>12</v>
      </c>
      <c r="H30" s="8">
        <v>5.24</v>
      </c>
      <c r="I30" s="12">
        <v>0</v>
      </c>
    </row>
    <row r="31" spans="2:9" ht="15" customHeight="1" x14ac:dyDescent="0.2">
      <c r="B31" t="s">
        <v>100</v>
      </c>
      <c r="C31" s="12">
        <v>19</v>
      </c>
      <c r="D31" s="8">
        <v>3.69</v>
      </c>
      <c r="E31" s="12">
        <v>5</v>
      </c>
      <c r="F31" s="8">
        <v>1.76</v>
      </c>
      <c r="G31" s="12">
        <v>14</v>
      </c>
      <c r="H31" s="8">
        <v>6.11</v>
      </c>
      <c r="I31" s="12">
        <v>0</v>
      </c>
    </row>
    <row r="32" spans="2:9" ht="15" customHeight="1" x14ac:dyDescent="0.2">
      <c r="B32" t="s">
        <v>106</v>
      </c>
      <c r="C32" s="12">
        <v>19</v>
      </c>
      <c r="D32" s="8">
        <v>3.69</v>
      </c>
      <c r="E32" s="12">
        <v>13</v>
      </c>
      <c r="F32" s="8">
        <v>4.58</v>
      </c>
      <c r="G32" s="12">
        <v>6</v>
      </c>
      <c r="H32" s="8">
        <v>2.62</v>
      </c>
      <c r="I32" s="12">
        <v>0</v>
      </c>
    </row>
    <row r="33" spans="2:9" ht="15" customHeight="1" x14ac:dyDescent="0.2">
      <c r="B33" t="s">
        <v>109</v>
      </c>
      <c r="C33" s="12">
        <v>16</v>
      </c>
      <c r="D33" s="8">
        <v>3.11</v>
      </c>
      <c r="E33" s="12">
        <v>9</v>
      </c>
      <c r="F33" s="8">
        <v>3.17</v>
      </c>
      <c r="G33" s="12">
        <v>7</v>
      </c>
      <c r="H33" s="8">
        <v>3.06</v>
      </c>
      <c r="I33" s="12">
        <v>0</v>
      </c>
    </row>
    <row r="34" spans="2:9" ht="15" customHeight="1" x14ac:dyDescent="0.2">
      <c r="B34" t="s">
        <v>114</v>
      </c>
      <c r="C34" s="12">
        <v>15</v>
      </c>
      <c r="D34" s="8">
        <v>2.91</v>
      </c>
      <c r="E34" s="12">
        <v>10</v>
      </c>
      <c r="F34" s="8">
        <v>3.52</v>
      </c>
      <c r="G34" s="12">
        <v>4</v>
      </c>
      <c r="H34" s="8">
        <v>1.75</v>
      </c>
      <c r="I34" s="12">
        <v>0</v>
      </c>
    </row>
    <row r="35" spans="2:9" ht="15" customHeight="1" x14ac:dyDescent="0.2">
      <c r="B35" t="s">
        <v>115</v>
      </c>
      <c r="C35" s="12">
        <v>15</v>
      </c>
      <c r="D35" s="8">
        <v>2.91</v>
      </c>
      <c r="E35" s="12">
        <v>13</v>
      </c>
      <c r="F35" s="8">
        <v>4.58</v>
      </c>
      <c r="G35" s="12">
        <v>2</v>
      </c>
      <c r="H35" s="8">
        <v>0.87</v>
      </c>
      <c r="I35" s="12">
        <v>0</v>
      </c>
    </row>
    <row r="36" spans="2:9" ht="15" customHeight="1" x14ac:dyDescent="0.2">
      <c r="B36" t="s">
        <v>101</v>
      </c>
      <c r="C36" s="12">
        <v>14</v>
      </c>
      <c r="D36" s="8">
        <v>2.72</v>
      </c>
      <c r="E36" s="12">
        <v>4</v>
      </c>
      <c r="F36" s="8">
        <v>1.41</v>
      </c>
      <c r="G36" s="12">
        <v>10</v>
      </c>
      <c r="H36" s="8">
        <v>4.37</v>
      </c>
      <c r="I36" s="12">
        <v>0</v>
      </c>
    </row>
    <row r="37" spans="2:9" ht="15" customHeight="1" x14ac:dyDescent="0.2">
      <c r="B37" t="s">
        <v>119</v>
      </c>
      <c r="C37" s="12">
        <v>12</v>
      </c>
      <c r="D37" s="8">
        <v>2.33</v>
      </c>
      <c r="E37" s="12">
        <v>2</v>
      </c>
      <c r="F37" s="8">
        <v>0.7</v>
      </c>
      <c r="G37" s="12">
        <v>10</v>
      </c>
      <c r="H37" s="8">
        <v>4.37</v>
      </c>
      <c r="I37" s="12">
        <v>0</v>
      </c>
    </row>
    <row r="38" spans="2:9" ht="15" customHeight="1" x14ac:dyDescent="0.2">
      <c r="B38" t="s">
        <v>104</v>
      </c>
      <c r="C38" s="12">
        <v>12</v>
      </c>
      <c r="D38" s="8">
        <v>2.33</v>
      </c>
      <c r="E38" s="12">
        <v>5</v>
      </c>
      <c r="F38" s="8">
        <v>1.76</v>
      </c>
      <c r="G38" s="12">
        <v>7</v>
      </c>
      <c r="H38" s="8">
        <v>3.06</v>
      </c>
      <c r="I38" s="12">
        <v>0</v>
      </c>
    </row>
    <row r="39" spans="2:9" ht="15" customHeight="1" x14ac:dyDescent="0.2">
      <c r="B39" t="s">
        <v>111</v>
      </c>
      <c r="C39" s="12">
        <v>9</v>
      </c>
      <c r="D39" s="8">
        <v>1.75</v>
      </c>
      <c r="E39" s="12">
        <v>5</v>
      </c>
      <c r="F39" s="8">
        <v>1.76</v>
      </c>
      <c r="G39" s="12">
        <v>4</v>
      </c>
      <c r="H39" s="8">
        <v>1.75</v>
      </c>
      <c r="I39" s="12">
        <v>0</v>
      </c>
    </row>
    <row r="40" spans="2:9" ht="15" customHeight="1" x14ac:dyDescent="0.2">
      <c r="B40" t="s">
        <v>102</v>
      </c>
      <c r="C40" s="12">
        <v>8</v>
      </c>
      <c r="D40" s="8">
        <v>1.55</v>
      </c>
      <c r="E40" s="12">
        <v>2</v>
      </c>
      <c r="F40" s="8">
        <v>0.7</v>
      </c>
      <c r="G40" s="12">
        <v>6</v>
      </c>
      <c r="H40" s="8">
        <v>2.62</v>
      </c>
      <c r="I40" s="12">
        <v>0</v>
      </c>
    </row>
    <row r="41" spans="2:9" ht="15" customHeight="1" x14ac:dyDescent="0.2">
      <c r="B41" t="s">
        <v>108</v>
      </c>
      <c r="C41" s="12">
        <v>7</v>
      </c>
      <c r="D41" s="8">
        <v>1.36</v>
      </c>
      <c r="E41" s="12">
        <v>2</v>
      </c>
      <c r="F41" s="8">
        <v>0.7</v>
      </c>
      <c r="G41" s="12">
        <v>5</v>
      </c>
      <c r="H41" s="8">
        <v>2.1800000000000002</v>
      </c>
      <c r="I41" s="12">
        <v>0</v>
      </c>
    </row>
    <row r="42" spans="2:9" ht="15" customHeight="1" x14ac:dyDescent="0.2">
      <c r="B42" t="s">
        <v>118</v>
      </c>
      <c r="C42" s="12">
        <v>7</v>
      </c>
      <c r="D42" s="8">
        <v>1.36</v>
      </c>
      <c r="E42" s="12">
        <v>3</v>
      </c>
      <c r="F42" s="8">
        <v>1.06</v>
      </c>
      <c r="G42" s="12">
        <v>4</v>
      </c>
      <c r="H42" s="8">
        <v>1.75</v>
      </c>
      <c r="I42" s="12">
        <v>0</v>
      </c>
    </row>
    <row r="43" spans="2:9" ht="15" customHeight="1" x14ac:dyDescent="0.2">
      <c r="B43" t="s">
        <v>116</v>
      </c>
      <c r="C43" s="12">
        <v>7</v>
      </c>
      <c r="D43" s="8">
        <v>1.36</v>
      </c>
      <c r="E43" s="12">
        <v>0</v>
      </c>
      <c r="F43" s="8">
        <v>0</v>
      </c>
      <c r="G43" s="12">
        <v>7</v>
      </c>
      <c r="H43" s="8">
        <v>3.06</v>
      </c>
      <c r="I43" s="12">
        <v>0</v>
      </c>
    </row>
    <row r="44" spans="2:9" ht="15" customHeight="1" x14ac:dyDescent="0.2">
      <c r="B44" t="s">
        <v>139</v>
      </c>
      <c r="C44" s="12">
        <v>7</v>
      </c>
      <c r="D44" s="8">
        <v>1.36</v>
      </c>
      <c r="E44" s="12">
        <v>4</v>
      </c>
      <c r="F44" s="8">
        <v>1.41</v>
      </c>
      <c r="G44" s="12">
        <v>3</v>
      </c>
      <c r="H44" s="8">
        <v>1.31</v>
      </c>
      <c r="I44" s="12">
        <v>0</v>
      </c>
    </row>
    <row r="47" spans="2:9" ht="33" customHeight="1" x14ac:dyDescent="0.2">
      <c r="B47" t="s">
        <v>287</v>
      </c>
      <c r="C47" s="10" t="s">
        <v>91</v>
      </c>
      <c r="D47" s="10" t="s">
        <v>92</v>
      </c>
      <c r="E47" s="10" t="s">
        <v>93</v>
      </c>
      <c r="F47" s="10" t="s">
        <v>94</v>
      </c>
      <c r="G47" s="10" t="s">
        <v>95</v>
      </c>
      <c r="H47" s="10" t="s">
        <v>96</v>
      </c>
      <c r="I47" s="10" t="s">
        <v>97</v>
      </c>
    </row>
    <row r="48" spans="2:9" ht="15" customHeight="1" x14ac:dyDescent="0.2">
      <c r="B48" t="s">
        <v>173</v>
      </c>
      <c r="C48" s="12">
        <v>28</v>
      </c>
      <c r="D48" s="8">
        <v>5.44</v>
      </c>
      <c r="E48" s="12">
        <v>24</v>
      </c>
      <c r="F48" s="8">
        <v>8.4499999999999993</v>
      </c>
      <c r="G48" s="12">
        <v>4</v>
      </c>
      <c r="H48" s="8">
        <v>1.75</v>
      </c>
      <c r="I48" s="12">
        <v>0</v>
      </c>
    </row>
    <row r="49" spans="2:9" ht="15" customHeight="1" x14ac:dyDescent="0.2">
      <c r="B49" t="s">
        <v>154</v>
      </c>
      <c r="C49" s="12">
        <v>25</v>
      </c>
      <c r="D49" s="8">
        <v>4.8499999999999996</v>
      </c>
      <c r="E49" s="12">
        <v>3</v>
      </c>
      <c r="F49" s="8">
        <v>1.06</v>
      </c>
      <c r="G49" s="12">
        <v>22</v>
      </c>
      <c r="H49" s="8">
        <v>9.61</v>
      </c>
      <c r="I49" s="12">
        <v>0</v>
      </c>
    </row>
    <row r="50" spans="2:9" ht="15" customHeight="1" x14ac:dyDescent="0.2">
      <c r="B50" t="s">
        <v>170</v>
      </c>
      <c r="C50" s="12">
        <v>24</v>
      </c>
      <c r="D50" s="8">
        <v>4.66</v>
      </c>
      <c r="E50" s="12">
        <v>23</v>
      </c>
      <c r="F50" s="8">
        <v>8.1</v>
      </c>
      <c r="G50" s="12">
        <v>1</v>
      </c>
      <c r="H50" s="8">
        <v>0.44</v>
      </c>
      <c r="I50" s="12">
        <v>0</v>
      </c>
    </row>
    <row r="51" spans="2:9" ht="15" customHeight="1" x14ac:dyDescent="0.2">
      <c r="B51" t="s">
        <v>168</v>
      </c>
      <c r="C51" s="12">
        <v>19</v>
      </c>
      <c r="D51" s="8">
        <v>3.69</v>
      </c>
      <c r="E51" s="12">
        <v>19</v>
      </c>
      <c r="F51" s="8">
        <v>6.69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159</v>
      </c>
      <c r="C52" s="12">
        <v>17</v>
      </c>
      <c r="D52" s="8">
        <v>3.3</v>
      </c>
      <c r="E52" s="12">
        <v>12</v>
      </c>
      <c r="F52" s="8">
        <v>4.2300000000000004</v>
      </c>
      <c r="G52" s="12">
        <v>5</v>
      </c>
      <c r="H52" s="8">
        <v>2.1800000000000002</v>
      </c>
      <c r="I52" s="12">
        <v>0</v>
      </c>
    </row>
    <row r="53" spans="2:9" ht="15" customHeight="1" x14ac:dyDescent="0.2">
      <c r="B53" t="s">
        <v>172</v>
      </c>
      <c r="C53" s="12">
        <v>13</v>
      </c>
      <c r="D53" s="8">
        <v>2.52</v>
      </c>
      <c r="E53" s="12">
        <v>11</v>
      </c>
      <c r="F53" s="8">
        <v>3.87</v>
      </c>
      <c r="G53" s="12">
        <v>2</v>
      </c>
      <c r="H53" s="8">
        <v>0.87</v>
      </c>
      <c r="I53" s="12">
        <v>0</v>
      </c>
    </row>
    <row r="54" spans="2:9" ht="15" customHeight="1" x14ac:dyDescent="0.2">
      <c r="B54" t="s">
        <v>166</v>
      </c>
      <c r="C54" s="12">
        <v>12</v>
      </c>
      <c r="D54" s="8">
        <v>2.33</v>
      </c>
      <c r="E54" s="12">
        <v>11</v>
      </c>
      <c r="F54" s="8">
        <v>3.87</v>
      </c>
      <c r="G54" s="12">
        <v>1</v>
      </c>
      <c r="H54" s="8">
        <v>0.44</v>
      </c>
      <c r="I54" s="12">
        <v>0</v>
      </c>
    </row>
    <row r="55" spans="2:9" ht="15" customHeight="1" x14ac:dyDescent="0.2">
      <c r="B55" t="s">
        <v>169</v>
      </c>
      <c r="C55" s="12">
        <v>12</v>
      </c>
      <c r="D55" s="8">
        <v>2.33</v>
      </c>
      <c r="E55" s="12">
        <v>11</v>
      </c>
      <c r="F55" s="8">
        <v>3.87</v>
      </c>
      <c r="G55" s="12">
        <v>1</v>
      </c>
      <c r="H55" s="8">
        <v>0.44</v>
      </c>
      <c r="I55" s="12">
        <v>0</v>
      </c>
    </row>
    <row r="56" spans="2:9" ht="15" customHeight="1" x14ac:dyDescent="0.2">
      <c r="B56" t="s">
        <v>155</v>
      </c>
      <c r="C56" s="12">
        <v>10</v>
      </c>
      <c r="D56" s="8">
        <v>1.94</v>
      </c>
      <c r="E56" s="12">
        <v>2</v>
      </c>
      <c r="F56" s="8">
        <v>0.7</v>
      </c>
      <c r="G56" s="12">
        <v>8</v>
      </c>
      <c r="H56" s="8">
        <v>3.49</v>
      </c>
      <c r="I56" s="12">
        <v>0</v>
      </c>
    </row>
    <row r="57" spans="2:9" ht="15" customHeight="1" x14ac:dyDescent="0.2">
      <c r="B57" t="s">
        <v>164</v>
      </c>
      <c r="C57" s="12">
        <v>10</v>
      </c>
      <c r="D57" s="8">
        <v>1.94</v>
      </c>
      <c r="E57" s="12">
        <v>7</v>
      </c>
      <c r="F57" s="8">
        <v>2.46</v>
      </c>
      <c r="G57" s="12">
        <v>3</v>
      </c>
      <c r="H57" s="8">
        <v>1.31</v>
      </c>
      <c r="I57" s="12">
        <v>0</v>
      </c>
    </row>
    <row r="58" spans="2:9" ht="15" customHeight="1" x14ac:dyDescent="0.2">
      <c r="B58" t="s">
        <v>179</v>
      </c>
      <c r="C58" s="12">
        <v>10</v>
      </c>
      <c r="D58" s="8">
        <v>1.94</v>
      </c>
      <c r="E58" s="12">
        <v>9</v>
      </c>
      <c r="F58" s="8">
        <v>3.17</v>
      </c>
      <c r="G58" s="12">
        <v>1</v>
      </c>
      <c r="H58" s="8">
        <v>0.44</v>
      </c>
      <c r="I58" s="12">
        <v>0</v>
      </c>
    </row>
    <row r="59" spans="2:9" ht="15" customHeight="1" x14ac:dyDescent="0.2">
      <c r="B59" t="s">
        <v>203</v>
      </c>
      <c r="C59" s="12">
        <v>9</v>
      </c>
      <c r="D59" s="8">
        <v>1.75</v>
      </c>
      <c r="E59" s="12">
        <v>3</v>
      </c>
      <c r="F59" s="8">
        <v>1.06</v>
      </c>
      <c r="G59" s="12">
        <v>6</v>
      </c>
      <c r="H59" s="8">
        <v>2.62</v>
      </c>
      <c r="I59" s="12">
        <v>0</v>
      </c>
    </row>
    <row r="60" spans="2:9" ht="15" customHeight="1" x14ac:dyDescent="0.2">
      <c r="B60" t="s">
        <v>177</v>
      </c>
      <c r="C60" s="12">
        <v>9</v>
      </c>
      <c r="D60" s="8">
        <v>1.75</v>
      </c>
      <c r="E60" s="12">
        <v>6</v>
      </c>
      <c r="F60" s="8">
        <v>2.11</v>
      </c>
      <c r="G60" s="12">
        <v>3</v>
      </c>
      <c r="H60" s="8">
        <v>1.31</v>
      </c>
      <c r="I60" s="12">
        <v>0</v>
      </c>
    </row>
    <row r="61" spans="2:9" ht="15" customHeight="1" x14ac:dyDescent="0.2">
      <c r="B61" t="s">
        <v>171</v>
      </c>
      <c r="C61" s="12">
        <v>9</v>
      </c>
      <c r="D61" s="8">
        <v>1.75</v>
      </c>
      <c r="E61" s="12">
        <v>7</v>
      </c>
      <c r="F61" s="8">
        <v>2.46</v>
      </c>
      <c r="G61" s="12">
        <v>2</v>
      </c>
      <c r="H61" s="8">
        <v>0.87</v>
      </c>
      <c r="I61" s="12">
        <v>0</v>
      </c>
    </row>
    <row r="62" spans="2:9" ht="15" customHeight="1" x14ac:dyDescent="0.2">
      <c r="B62" t="s">
        <v>186</v>
      </c>
      <c r="C62" s="12">
        <v>8</v>
      </c>
      <c r="D62" s="8">
        <v>1.55</v>
      </c>
      <c r="E62" s="12">
        <v>5</v>
      </c>
      <c r="F62" s="8">
        <v>1.76</v>
      </c>
      <c r="G62" s="12">
        <v>3</v>
      </c>
      <c r="H62" s="8">
        <v>1.31</v>
      </c>
      <c r="I62" s="12">
        <v>0</v>
      </c>
    </row>
    <row r="63" spans="2:9" ht="15" customHeight="1" x14ac:dyDescent="0.2">
      <c r="B63" t="s">
        <v>174</v>
      </c>
      <c r="C63" s="12">
        <v>8</v>
      </c>
      <c r="D63" s="8">
        <v>1.55</v>
      </c>
      <c r="E63" s="12">
        <v>3</v>
      </c>
      <c r="F63" s="8">
        <v>1.06</v>
      </c>
      <c r="G63" s="12">
        <v>5</v>
      </c>
      <c r="H63" s="8">
        <v>2.1800000000000002</v>
      </c>
      <c r="I63" s="12">
        <v>0</v>
      </c>
    </row>
    <row r="64" spans="2:9" ht="15" customHeight="1" x14ac:dyDescent="0.2">
      <c r="B64" t="s">
        <v>160</v>
      </c>
      <c r="C64" s="12">
        <v>8</v>
      </c>
      <c r="D64" s="8">
        <v>1.55</v>
      </c>
      <c r="E64" s="12">
        <v>3</v>
      </c>
      <c r="F64" s="8">
        <v>1.06</v>
      </c>
      <c r="G64" s="12">
        <v>5</v>
      </c>
      <c r="H64" s="8">
        <v>2.1800000000000002</v>
      </c>
      <c r="I64" s="12">
        <v>0</v>
      </c>
    </row>
    <row r="65" spans="2:9" ht="15" customHeight="1" x14ac:dyDescent="0.2">
      <c r="B65" t="s">
        <v>180</v>
      </c>
      <c r="C65" s="12">
        <v>7</v>
      </c>
      <c r="D65" s="8">
        <v>1.36</v>
      </c>
      <c r="E65" s="12">
        <v>2</v>
      </c>
      <c r="F65" s="8">
        <v>0.7</v>
      </c>
      <c r="G65" s="12">
        <v>5</v>
      </c>
      <c r="H65" s="8">
        <v>2.1800000000000002</v>
      </c>
      <c r="I65" s="12">
        <v>0</v>
      </c>
    </row>
    <row r="66" spans="2:9" ht="15" customHeight="1" x14ac:dyDescent="0.2">
      <c r="B66" t="s">
        <v>167</v>
      </c>
      <c r="C66" s="12">
        <v>7</v>
      </c>
      <c r="D66" s="8">
        <v>1.36</v>
      </c>
      <c r="E66" s="12">
        <v>7</v>
      </c>
      <c r="F66" s="8">
        <v>2.46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182</v>
      </c>
      <c r="C67" s="12">
        <v>7</v>
      </c>
      <c r="D67" s="8">
        <v>1.36</v>
      </c>
      <c r="E67" s="12">
        <v>4</v>
      </c>
      <c r="F67" s="8">
        <v>1.41</v>
      </c>
      <c r="G67" s="12">
        <v>3</v>
      </c>
      <c r="H67" s="8">
        <v>1.31</v>
      </c>
      <c r="I67" s="12">
        <v>0</v>
      </c>
    </row>
    <row r="69" spans="2:9" ht="15" customHeight="1" x14ac:dyDescent="0.2">
      <c r="B69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FE2E3-3634-4204-8FFA-E65D14E7A1A9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289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3</v>
      </c>
      <c r="D5" s="8">
        <v>0.01</v>
      </c>
      <c r="E5" s="12">
        <v>0</v>
      </c>
      <c r="F5" s="8">
        <v>0</v>
      </c>
      <c r="G5" s="12">
        <v>3</v>
      </c>
      <c r="H5" s="8">
        <v>0.03</v>
      </c>
      <c r="I5" s="12">
        <v>0</v>
      </c>
    </row>
    <row r="6" spans="2:9" ht="15" customHeight="1" x14ac:dyDescent="0.2">
      <c r="B6" t="s">
        <v>76</v>
      </c>
      <c r="C6" s="12">
        <v>3074</v>
      </c>
      <c r="D6" s="8">
        <v>13.67</v>
      </c>
      <c r="E6" s="12">
        <v>592</v>
      </c>
      <c r="F6" s="8">
        <v>5.33</v>
      </c>
      <c r="G6" s="12">
        <v>2482</v>
      </c>
      <c r="H6" s="8">
        <v>22.2</v>
      </c>
      <c r="I6" s="12">
        <v>0</v>
      </c>
    </row>
    <row r="7" spans="2:9" ht="15" customHeight="1" x14ac:dyDescent="0.2">
      <c r="B7" t="s">
        <v>77</v>
      </c>
      <c r="C7" s="12">
        <v>1143</v>
      </c>
      <c r="D7" s="8">
        <v>5.08</v>
      </c>
      <c r="E7" s="12">
        <v>328</v>
      </c>
      <c r="F7" s="8">
        <v>2.95</v>
      </c>
      <c r="G7" s="12">
        <v>815</v>
      </c>
      <c r="H7" s="8">
        <v>7.29</v>
      </c>
      <c r="I7" s="12">
        <v>0</v>
      </c>
    </row>
    <row r="8" spans="2:9" ht="15" customHeight="1" x14ac:dyDescent="0.2">
      <c r="B8" t="s">
        <v>78</v>
      </c>
      <c r="C8" s="12">
        <v>32</v>
      </c>
      <c r="D8" s="8">
        <v>0.14000000000000001</v>
      </c>
      <c r="E8" s="12">
        <v>0</v>
      </c>
      <c r="F8" s="8">
        <v>0</v>
      </c>
      <c r="G8" s="12">
        <v>32</v>
      </c>
      <c r="H8" s="8">
        <v>0.28999999999999998</v>
      </c>
      <c r="I8" s="12">
        <v>0</v>
      </c>
    </row>
    <row r="9" spans="2:9" ht="15" customHeight="1" x14ac:dyDescent="0.2">
      <c r="B9" t="s">
        <v>79</v>
      </c>
      <c r="C9" s="12">
        <v>175</v>
      </c>
      <c r="D9" s="8">
        <v>0.78</v>
      </c>
      <c r="E9" s="12">
        <v>18</v>
      </c>
      <c r="F9" s="8">
        <v>0.16</v>
      </c>
      <c r="G9" s="12">
        <v>157</v>
      </c>
      <c r="H9" s="8">
        <v>1.4</v>
      </c>
      <c r="I9" s="12">
        <v>0</v>
      </c>
    </row>
    <row r="10" spans="2:9" ht="15" customHeight="1" x14ac:dyDescent="0.2">
      <c r="B10" t="s">
        <v>80</v>
      </c>
      <c r="C10" s="12">
        <v>329</v>
      </c>
      <c r="D10" s="8">
        <v>1.46</v>
      </c>
      <c r="E10" s="12">
        <v>86</v>
      </c>
      <c r="F10" s="8">
        <v>0.77</v>
      </c>
      <c r="G10" s="12">
        <v>238</v>
      </c>
      <c r="H10" s="8">
        <v>2.13</v>
      </c>
      <c r="I10" s="12">
        <v>2</v>
      </c>
    </row>
    <row r="11" spans="2:9" ht="15" customHeight="1" x14ac:dyDescent="0.2">
      <c r="B11" t="s">
        <v>81</v>
      </c>
      <c r="C11" s="12">
        <v>5482</v>
      </c>
      <c r="D11" s="8">
        <v>24.38</v>
      </c>
      <c r="E11" s="12">
        <v>2494</v>
      </c>
      <c r="F11" s="8">
        <v>22.46</v>
      </c>
      <c r="G11" s="12">
        <v>2983</v>
      </c>
      <c r="H11" s="8">
        <v>26.68</v>
      </c>
      <c r="I11" s="12">
        <v>5</v>
      </c>
    </row>
    <row r="12" spans="2:9" ht="15" customHeight="1" x14ac:dyDescent="0.2">
      <c r="B12" t="s">
        <v>82</v>
      </c>
      <c r="C12" s="12">
        <v>208</v>
      </c>
      <c r="D12" s="8">
        <v>0.92</v>
      </c>
      <c r="E12" s="12">
        <v>24</v>
      </c>
      <c r="F12" s="8">
        <v>0.22</v>
      </c>
      <c r="G12" s="12">
        <v>184</v>
      </c>
      <c r="H12" s="8">
        <v>1.65</v>
      </c>
      <c r="I12" s="12">
        <v>0</v>
      </c>
    </row>
    <row r="13" spans="2:9" ht="15" customHeight="1" x14ac:dyDescent="0.2">
      <c r="B13" t="s">
        <v>83</v>
      </c>
      <c r="C13" s="12">
        <v>2574</v>
      </c>
      <c r="D13" s="8">
        <v>11.45</v>
      </c>
      <c r="E13" s="12">
        <v>1121</v>
      </c>
      <c r="F13" s="8">
        <v>10.1</v>
      </c>
      <c r="G13" s="12">
        <v>1451</v>
      </c>
      <c r="H13" s="8">
        <v>12.98</v>
      </c>
      <c r="I13" s="12">
        <v>2</v>
      </c>
    </row>
    <row r="14" spans="2:9" ht="15" customHeight="1" x14ac:dyDescent="0.2">
      <c r="B14" t="s">
        <v>84</v>
      </c>
      <c r="C14" s="12">
        <v>1145</v>
      </c>
      <c r="D14" s="8">
        <v>5.09</v>
      </c>
      <c r="E14" s="12">
        <v>550</v>
      </c>
      <c r="F14" s="8">
        <v>4.95</v>
      </c>
      <c r="G14" s="12">
        <v>592</v>
      </c>
      <c r="H14" s="8">
        <v>5.3</v>
      </c>
      <c r="I14" s="12">
        <v>1</v>
      </c>
    </row>
    <row r="15" spans="2:9" ht="15" customHeight="1" x14ac:dyDescent="0.2">
      <c r="B15" t="s">
        <v>85</v>
      </c>
      <c r="C15" s="12">
        <v>2846</v>
      </c>
      <c r="D15" s="8">
        <v>12.66</v>
      </c>
      <c r="E15" s="12">
        <v>2375</v>
      </c>
      <c r="F15" s="8">
        <v>21.39</v>
      </c>
      <c r="G15" s="12">
        <v>469</v>
      </c>
      <c r="H15" s="8">
        <v>4.1900000000000004</v>
      </c>
      <c r="I15" s="12">
        <v>1</v>
      </c>
    </row>
    <row r="16" spans="2:9" ht="15" customHeight="1" x14ac:dyDescent="0.2">
      <c r="B16" t="s">
        <v>86</v>
      </c>
      <c r="C16" s="12">
        <v>2744</v>
      </c>
      <c r="D16" s="8">
        <v>12.2</v>
      </c>
      <c r="E16" s="12">
        <v>2097</v>
      </c>
      <c r="F16" s="8">
        <v>18.89</v>
      </c>
      <c r="G16" s="12">
        <v>644</v>
      </c>
      <c r="H16" s="8">
        <v>5.76</v>
      </c>
      <c r="I16" s="12">
        <v>2</v>
      </c>
    </row>
    <row r="17" spans="2:9" ht="15" customHeight="1" x14ac:dyDescent="0.2">
      <c r="B17" t="s">
        <v>87</v>
      </c>
      <c r="C17" s="12">
        <v>678</v>
      </c>
      <c r="D17" s="8">
        <v>3.01</v>
      </c>
      <c r="E17" s="12">
        <v>471</v>
      </c>
      <c r="F17" s="8">
        <v>4.24</v>
      </c>
      <c r="G17" s="12">
        <v>186</v>
      </c>
      <c r="H17" s="8">
        <v>1.66</v>
      </c>
      <c r="I17" s="12">
        <v>16</v>
      </c>
    </row>
    <row r="18" spans="2:9" ht="15" customHeight="1" x14ac:dyDescent="0.2">
      <c r="B18" t="s">
        <v>88</v>
      </c>
      <c r="C18" s="12">
        <v>1160</v>
      </c>
      <c r="D18" s="8">
        <v>5.16</v>
      </c>
      <c r="E18" s="12">
        <v>709</v>
      </c>
      <c r="F18" s="8">
        <v>6.39</v>
      </c>
      <c r="G18" s="12">
        <v>438</v>
      </c>
      <c r="H18" s="8">
        <v>3.92</v>
      </c>
      <c r="I18" s="12">
        <v>1</v>
      </c>
    </row>
    <row r="19" spans="2:9" ht="15" customHeight="1" x14ac:dyDescent="0.2">
      <c r="B19" t="s">
        <v>89</v>
      </c>
      <c r="C19" s="12">
        <v>895</v>
      </c>
      <c r="D19" s="8">
        <v>3.98</v>
      </c>
      <c r="E19" s="12">
        <v>238</v>
      </c>
      <c r="F19" s="8">
        <v>2.14</v>
      </c>
      <c r="G19" s="12">
        <v>506</v>
      </c>
      <c r="H19" s="8">
        <v>4.53</v>
      </c>
      <c r="I19" s="12">
        <v>10</v>
      </c>
    </row>
    <row r="20" spans="2:9" ht="15" customHeight="1" x14ac:dyDescent="0.2">
      <c r="B20" s="9" t="s">
        <v>285</v>
      </c>
      <c r="C20" s="12">
        <f>SUM(LTBL_40100[総数／事業所数])</f>
        <v>22488</v>
      </c>
      <c r="E20" s="12">
        <f>SUBTOTAL(109,LTBL_40100[個人／事業所数])</f>
        <v>11103</v>
      </c>
      <c r="G20" s="12">
        <f>SUBTOTAL(109,LTBL_40100[法人／事業所数])</f>
        <v>11180</v>
      </c>
      <c r="I20" s="12">
        <f>SUBTOTAL(109,LTBL_40100[法人以外の団体／事業所数])</f>
        <v>40</v>
      </c>
    </row>
    <row r="21" spans="2:9" ht="15" customHeight="1" x14ac:dyDescent="0.2">
      <c r="E21" s="11">
        <f>LTBL_40100[[#Totals],[個人／事業所数]]/LTBL_40100[[#Totals],[総数／事業所数]]</f>
        <v>0.49372998932764139</v>
      </c>
      <c r="G21" s="11">
        <f>LTBL_40100[[#Totals],[法人／事業所数]]/LTBL_40100[[#Totals],[総数／事業所数]]</f>
        <v>0.49715403770900035</v>
      </c>
      <c r="I21" s="11">
        <f>LTBL_40100[[#Totals],[法人以外の団体／事業所数]]/LTBL_40100[[#Totals],[総数／事業所数]]</f>
        <v>1.7787264318747777E-3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112</v>
      </c>
      <c r="C24" s="12">
        <v>2584</v>
      </c>
      <c r="D24" s="8">
        <v>11.49</v>
      </c>
      <c r="E24" s="12">
        <v>2282</v>
      </c>
      <c r="F24" s="8">
        <v>20.55</v>
      </c>
      <c r="G24" s="12">
        <v>301</v>
      </c>
      <c r="H24" s="8">
        <v>2.69</v>
      </c>
      <c r="I24" s="12">
        <v>1</v>
      </c>
    </row>
    <row r="25" spans="2:9" ht="15" customHeight="1" x14ac:dyDescent="0.2">
      <c r="B25" t="s">
        <v>113</v>
      </c>
      <c r="C25" s="12">
        <v>2241</v>
      </c>
      <c r="D25" s="8">
        <v>9.9700000000000006</v>
      </c>
      <c r="E25" s="12">
        <v>1859</v>
      </c>
      <c r="F25" s="8">
        <v>16.739999999999998</v>
      </c>
      <c r="G25" s="12">
        <v>381</v>
      </c>
      <c r="H25" s="8">
        <v>3.41</v>
      </c>
      <c r="I25" s="12">
        <v>1</v>
      </c>
    </row>
    <row r="26" spans="2:9" ht="15" customHeight="1" x14ac:dyDescent="0.2">
      <c r="B26" t="s">
        <v>109</v>
      </c>
      <c r="C26" s="12">
        <v>2088</v>
      </c>
      <c r="D26" s="8">
        <v>9.2799999999999994</v>
      </c>
      <c r="E26" s="12">
        <v>1048</v>
      </c>
      <c r="F26" s="8">
        <v>9.44</v>
      </c>
      <c r="G26" s="12">
        <v>1039</v>
      </c>
      <c r="H26" s="8">
        <v>9.2899999999999991</v>
      </c>
      <c r="I26" s="12">
        <v>1</v>
      </c>
    </row>
    <row r="27" spans="2:9" ht="15" customHeight="1" x14ac:dyDescent="0.2">
      <c r="B27" t="s">
        <v>107</v>
      </c>
      <c r="C27" s="12">
        <v>1497</v>
      </c>
      <c r="D27" s="8">
        <v>6.66</v>
      </c>
      <c r="E27" s="12">
        <v>723</v>
      </c>
      <c r="F27" s="8">
        <v>6.51</v>
      </c>
      <c r="G27" s="12">
        <v>771</v>
      </c>
      <c r="H27" s="8">
        <v>6.9</v>
      </c>
      <c r="I27" s="12">
        <v>3</v>
      </c>
    </row>
    <row r="28" spans="2:9" ht="15" customHeight="1" x14ac:dyDescent="0.2">
      <c r="B28" t="s">
        <v>98</v>
      </c>
      <c r="C28" s="12">
        <v>1315</v>
      </c>
      <c r="D28" s="8">
        <v>5.85</v>
      </c>
      <c r="E28" s="12">
        <v>233</v>
      </c>
      <c r="F28" s="8">
        <v>2.1</v>
      </c>
      <c r="G28" s="12">
        <v>1082</v>
      </c>
      <c r="H28" s="8">
        <v>9.68</v>
      </c>
      <c r="I28" s="12">
        <v>0</v>
      </c>
    </row>
    <row r="29" spans="2:9" ht="15" customHeight="1" x14ac:dyDescent="0.2">
      <c r="B29" t="s">
        <v>105</v>
      </c>
      <c r="C29" s="12">
        <v>1315</v>
      </c>
      <c r="D29" s="8">
        <v>5.85</v>
      </c>
      <c r="E29" s="12">
        <v>951</v>
      </c>
      <c r="F29" s="8">
        <v>8.57</v>
      </c>
      <c r="G29" s="12">
        <v>364</v>
      </c>
      <c r="H29" s="8">
        <v>3.26</v>
      </c>
      <c r="I29" s="12">
        <v>0</v>
      </c>
    </row>
    <row r="30" spans="2:9" ht="15" customHeight="1" x14ac:dyDescent="0.2">
      <c r="B30" t="s">
        <v>100</v>
      </c>
      <c r="C30" s="12">
        <v>915</v>
      </c>
      <c r="D30" s="8">
        <v>4.07</v>
      </c>
      <c r="E30" s="12">
        <v>127</v>
      </c>
      <c r="F30" s="8">
        <v>1.1399999999999999</v>
      </c>
      <c r="G30" s="12">
        <v>788</v>
      </c>
      <c r="H30" s="8">
        <v>7.05</v>
      </c>
      <c r="I30" s="12">
        <v>0</v>
      </c>
    </row>
    <row r="31" spans="2:9" ht="15" customHeight="1" x14ac:dyDescent="0.2">
      <c r="B31" t="s">
        <v>99</v>
      </c>
      <c r="C31" s="12">
        <v>844</v>
      </c>
      <c r="D31" s="8">
        <v>3.75</v>
      </c>
      <c r="E31" s="12">
        <v>232</v>
      </c>
      <c r="F31" s="8">
        <v>2.09</v>
      </c>
      <c r="G31" s="12">
        <v>612</v>
      </c>
      <c r="H31" s="8">
        <v>5.47</v>
      </c>
      <c r="I31" s="12">
        <v>0</v>
      </c>
    </row>
    <row r="32" spans="2:9" ht="15" customHeight="1" x14ac:dyDescent="0.2">
      <c r="B32" t="s">
        <v>115</v>
      </c>
      <c r="C32" s="12">
        <v>822</v>
      </c>
      <c r="D32" s="8">
        <v>3.66</v>
      </c>
      <c r="E32" s="12">
        <v>703</v>
      </c>
      <c r="F32" s="8">
        <v>6.33</v>
      </c>
      <c r="G32" s="12">
        <v>119</v>
      </c>
      <c r="H32" s="8">
        <v>1.06</v>
      </c>
      <c r="I32" s="12">
        <v>0</v>
      </c>
    </row>
    <row r="33" spans="2:9" ht="15" customHeight="1" x14ac:dyDescent="0.2">
      <c r="B33" t="s">
        <v>114</v>
      </c>
      <c r="C33" s="12">
        <v>678</v>
      </c>
      <c r="D33" s="8">
        <v>3.01</v>
      </c>
      <c r="E33" s="12">
        <v>471</v>
      </c>
      <c r="F33" s="8">
        <v>4.24</v>
      </c>
      <c r="G33" s="12">
        <v>186</v>
      </c>
      <c r="H33" s="8">
        <v>1.66</v>
      </c>
      <c r="I33" s="12">
        <v>16</v>
      </c>
    </row>
    <row r="34" spans="2:9" ht="15" customHeight="1" x14ac:dyDescent="0.2">
      <c r="B34" t="s">
        <v>110</v>
      </c>
      <c r="C34" s="12">
        <v>669</v>
      </c>
      <c r="D34" s="8">
        <v>2.97</v>
      </c>
      <c r="E34" s="12">
        <v>390</v>
      </c>
      <c r="F34" s="8">
        <v>3.51</v>
      </c>
      <c r="G34" s="12">
        <v>279</v>
      </c>
      <c r="H34" s="8">
        <v>2.5</v>
      </c>
      <c r="I34" s="12">
        <v>0</v>
      </c>
    </row>
    <row r="35" spans="2:9" ht="15" customHeight="1" x14ac:dyDescent="0.2">
      <c r="B35" t="s">
        <v>104</v>
      </c>
      <c r="C35" s="12">
        <v>610</v>
      </c>
      <c r="D35" s="8">
        <v>2.71</v>
      </c>
      <c r="E35" s="12">
        <v>298</v>
      </c>
      <c r="F35" s="8">
        <v>2.68</v>
      </c>
      <c r="G35" s="12">
        <v>310</v>
      </c>
      <c r="H35" s="8">
        <v>2.77</v>
      </c>
      <c r="I35" s="12">
        <v>2</v>
      </c>
    </row>
    <row r="36" spans="2:9" ht="15" customHeight="1" x14ac:dyDescent="0.2">
      <c r="B36" t="s">
        <v>106</v>
      </c>
      <c r="C36" s="12">
        <v>541</v>
      </c>
      <c r="D36" s="8">
        <v>2.41</v>
      </c>
      <c r="E36" s="12">
        <v>308</v>
      </c>
      <c r="F36" s="8">
        <v>2.77</v>
      </c>
      <c r="G36" s="12">
        <v>233</v>
      </c>
      <c r="H36" s="8">
        <v>2.08</v>
      </c>
      <c r="I36" s="12">
        <v>0</v>
      </c>
    </row>
    <row r="37" spans="2:9" ht="15" customHeight="1" x14ac:dyDescent="0.2">
      <c r="B37" t="s">
        <v>111</v>
      </c>
      <c r="C37" s="12">
        <v>420</v>
      </c>
      <c r="D37" s="8">
        <v>1.87</v>
      </c>
      <c r="E37" s="12">
        <v>158</v>
      </c>
      <c r="F37" s="8">
        <v>1.42</v>
      </c>
      <c r="G37" s="12">
        <v>260</v>
      </c>
      <c r="H37" s="8">
        <v>2.33</v>
      </c>
      <c r="I37" s="12">
        <v>0</v>
      </c>
    </row>
    <row r="38" spans="2:9" ht="15" customHeight="1" x14ac:dyDescent="0.2">
      <c r="B38" t="s">
        <v>102</v>
      </c>
      <c r="C38" s="12">
        <v>401</v>
      </c>
      <c r="D38" s="8">
        <v>1.78</v>
      </c>
      <c r="E38" s="12">
        <v>33</v>
      </c>
      <c r="F38" s="8">
        <v>0.3</v>
      </c>
      <c r="G38" s="12">
        <v>368</v>
      </c>
      <c r="H38" s="8">
        <v>3.29</v>
      </c>
      <c r="I38" s="12">
        <v>0</v>
      </c>
    </row>
    <row r="39" spans="2:9" ht="15" customHeight="1" x14ac:dyDescent="0.2">
      <c r="B39" t="s">
        <v>101</v>
      </c>
      <c r="C39" s="12">
        <v>369</v>
      </c>
      <c r="D39" s="8">
        <v>1.64</v>
      </c>
      <c r="E39" s="12">
        <v>37</v>
      </c>
      <c r="F39" s="8">
        <v>0.33</v>
      </c>
      <c r="G39" s="12">
        <v>332</v>
      </c>
      <c r="H39" s="8">
        <v>2.97</v>
      </c>
      <c r="I39" s="12">
        <v>0</v>
      </c>
    </row>
    <row r="40" spans="2:9" ht="15" customHeight="1" x14ac:dyDescent="0.2">
      <c r="B40" t="s">
        <v>108</v>
      </c>
      <c r="C40" s="12">
        <v>366</v>
      </c>
      <c r="D40" s="8">
        <v>1.63</v>
      </c>
      <c r="E40" s="12">
        <v>62</v>
      </c>
      <c r="F40" s="8">
        <v>0.56000000000000005</v>
      </c>
      <c r="G40" s="12">
        <v>304</v>
      </c>
      <c r="H40" s="8">
        <v>2.72</v>
      </c>
      <c r="I40" s="12">
        <v>0</v>
      </c>
    </row>
    <row r="41" spans="2:9" ht="15" customHeight="1" x14ac:dyDescent="0.2">
      <c r="B41" t="s">
        <v>116</v>
      </c>
      <c r="C41" s="12">
        <v>338</v>
      </c>
      <c r="D41" s="8">
        <v>1.5</v>
      </c>
      <c r="E41" s="12">
        <v>6</v>
      </c>
      <c r="F41" s="8">
        <v>0.05</v>
      </c>
      <c r="G41" s="12">
        <v>319</v>
      </c>
      <c r="H41" s="8">
        <v>2.85</v>
      </c>
      <c r="I41" s="12">
        <v>1</v>
      </c>
    </row>
    <row r="42" spans="2:9" ht="15" customHeight="1" x14ac:dyDescent="0.2">
      <c r="B42" t="s">
        <v>118</v>
      </c>
      <c r="C42" s="12">
        <v>323</v>
      </c>
      <c r="D42" s="8">
        <v>1.44</v>
      </c>
      <c r="E42" s="12">
        <v>135</v>
      </c>
      <c r="F42" s="8">
        <v>1.22</v>
      </c>
      <c r="G42" s="12">
        <v>187</v>
      </c>
      <c r="H42" s="8">
        <v>1.67</v>
      </c>
      <c r="I42" s="12">
        <v>0</v>
      </c>
    </row>
    <row r="43" spans="2:9" ht="15" customHeight="1" x14ac:dyDescent="0.2">
      <c r="B43" t="s">
        <v>103</v>
      </c>
      <c r="C43" s="12">
        <v>316</v>
      </c>
      <c r="D43" s="8">
        <v>1.41</v>
      </c>
      <c r="E43" s="12">
        <v>58</v>
      </c>
      <c r="F43" s="8">
        <v>0.52</v>
      </c>
      <c r="G43" s="12">
        <v>258</v>
      </c>
      <c r="H43" s="8">
        <v>2.31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170</v>
      </c>
      <c r="C47" s="12">
        <v>1206</v>
      </c>
      <c r="D47" s="8">
        <v>5.36</v>
      </c>
      <c r="E47" s="12">
        <v>1049</v>
      </c>
      <c r="F47" s="8">
        <v>9.4499999999999993</v>
      </c>
      <c r="G47" s="12">
        <v>157</v>
      </c>
      <c r="H47" s="8">
        <v>1.4</v>
      </c>
      <c r="I47" s="12">
        <v>0</v>
      </c>
    </row>
    <row r="48" spans="2:9" ht="15" customHeight="1" x14ac:dyDescent="0.2">
      <c r="B48" t="s">
        <v>164</v>
      </c>
      <c r="C48" s="12">
        <v>1155</v>
      </c>
      <c r="D48" s="8">
        <v>5.14</v>
      </c>
      <c r="E48" s="12">
        <v>632</v>
      </c>
      <c r="F48" s="8">
        <v>5.69</v>
      </c>
      <c r="G48" s="12">
        <v>523</v>
      </c>
      <c r="H48" s="8">
        <v>4.68</v>
      </c>
      <c r="I48" s="12">
        <v>0</v>
      </c>
    </row>
    <row r="49" spans="2:9" ht="15" customHeight="1" x14ac:dyDescent="0.2">
      <c r="B49" t="s">
        <v>168</v>
      </c>
      <c r="C49" s="12">
        <v>649</v>
      </c>
      <c r="D49" s="8">
        <v>2.89</v>
      </c>
      <c r="E49" s="12">
        <v>623</v>
      </c>
      <c r="F49" s="8">
        <v>5.61</v>
      </c>
      <c r="G49" s="12">
        <v>26</v>
      </c>
      <c r="H49" s="8">
        <v>0.23</v>
      </c>
      <c r="I49" s="12">
        <v>0</v>
      </c>
    </row>
    <row r="50" spans="2:9" ht="15" customHeight="1" x14ac:dyDescent="0.2">
      <c r="B50" t="s">
        <v>169</v>
      </c>
      <c r="C50" s="12">
        <v>634</v>
      </c>
      <c r="D50" s="8">
        <v>2.82</v>
      </c>
      <c r="E50" s="12">
        <v>615</v>
      </c>
      <c r="F50" s="8">
        <v>5.54</v>
      </c>
      <c r="G50" s="12">
        <v>19</v>
      </c>
      <c r="H50" s="8">
        <v>0.17</v>
      </c>
      <c r="I50" s="12">
        <v>0</v>
      </c>
    </row>
    <row r="51" spans="2:9" ht="15" customHeight="1" x14ac:dyDescent="0.2">
      <c r="B51" t="s">
        <v>167</v>
      </c>
      <c r="C51" s="12">
        <v>630</v>
      </c>
      <c r="D51" s="8">
        <v>2.8</v>
      </c>
      <c r="E51" s="12">
        <v>572</v>
      </c>
      <c r="F51" s="8">
        <v>5.15</v>
      </c>
      <c r="G51" s="12">
        <v>58</v>
      </c>
      <c r="H51" s="8">
        <v>0.52</v>
      </c>
      <c r="I51" s="12">
        <v>0</v>
      </c>
    </row>
    <row r="52" spans="2:9" ht="15" customHeight="1" x14ac:dyDescent="0.2">
      <c r="B52" t="s">
        <v>166</v>
      </c>
      <c r="C52" s="12">
        <v>568</v>
      </c>
      <c r="D52" s="8">
        <v>2.5299999999999998</v>
      </c>
      <c r="E52" s="12">
        <v>454</v>
      </c>
      <c r="F52" s="8">
        <v>4.09</v>
      </c>
      <c r="G52" s="12">
        <v>114</v>
      </c>
      <c r="H52" s="8">
        <v>1.02</v>
      </c>
      <c r="I52" s="12">
        <v>0</v>
      </c>
    </row>
    <row r="53" spans="2:9" ht="15" customHeight="1" x14ac:dyDescent="0.2">
      <c r="B53" t="s">
        <v>160</v>
      </c>
      <c r="C53" s="12">
        <v>511</v>
      </c>
      <c r="D53" s="8">
        <v>2.27</v>
      </c>
      <c r="E53" s="12">
        <v>155</v>
      </c>
      <c r="F53" s="8">
        <v>1.4</v>
      </c>
      <c r="G53" s="12">
        <v>356</v>
      </c>
      <c r="H53" s="8">
        <v>3.18</v>
      </c>
      <c r="I53" s="12">
        <v>0</v>
      </c>
    </row>
    <row r="54" spans="2:9" ht="15" customHeight="1" x14ac:dyDescent="0.2">
      <c r="B54" t="s">
        <v>172</v>
      </c>
      <c r="C54" s="12">
        <v>503</v>
      </c>
      <c r="D54" s="8">
        <v>2.2400000000000002</v>
      </c>
      <c r="E54" s="12">
        <v>437</v>
      </c>
      <c r="F54" s="8">
        <v>3.94</v>
      </c>
      <c r="G54" s="12">
        <v>66</v>
      </c>
      <c r="H54" s="8">
        <v>0.59</v>
      </c>
      <c r="I54" s="12">
        <v>0</v>
      </c>
    </row>
    <row r="55" spans="2:9" ht="15" customHeight="1" x14ac:dyDescent="0.2">
      <c r="B55" t="s">
        <v>158</v>
      </c>
      <c r="C55" s="12">
        <v>484</v>
      </c>
      <c r="D55" s="8">
        <v>2.15</v>
      </c>
      <c r="E55" s="12">
        <v>331</v>
      </c>
      <c r="F55" s="8">
        <v>2.98</v>
      </c>
      <c r="G55" s="12">
        <v>153</v>
      </c>
      <c r="H55" s="8">
        <v>1.37</v>
      </c>
      <c r="I55" s="12">
        <v>0</v>
      </c>
    </row>
    <row r="56" spans="2:9" ht="15" customHeight="1" x14ac:dyDescent="0.2">
      <c r="B56" t="s">
        <v>161</v>
      </c>
      <c r="C56" s="12">
        <v>475</v>
      </c>
      <c r="D56" s="8">
        <v>2.11</v>
      </c>
      <c r="E56" s="12">
        <v>323</v>
      </c>
      <c r="F56" s="8">
        <v>2.91</v>
      </c>
      <c r="G56" s="12">
        <v>152</v>
      </c>
      <c r="H56" s="8">
        <v>1.36</v>
      </c>
      <c r="I56" s="12">
        <v>0</v>
      </c>
    </row>
    <row r="57" spans="2:9" ht="15" customHeight="1" x14ac:dyDescent="0.2">
      <c r="B57" t="s">
        <v>154</v>
      </c>
      <c r="C57" s="12">
        <v>444</v>
      </c>
      <c r="D57" s="8">
        <v>1.97</v>
      </c>
      <c r="E57" s="12">
        <v>66</v>
      </c>
      <c r="F57" s="8">
        <v>0.59</v>
      </c>
      <c r="G57" s="12">
        <v>378</v>
      </c>
      <c r="H57" s="8">
        <v>3.38</v>
      </c>
      <c r="I57" s="12">
        <v>0</v>
      </c>
    </row>
    <row r="58" spans="2:9" ht="15" customHeight="1" x14ac:dyDescent="0.2">
      <c r="B58" t="s">
        <v>175</v>
      </c>
      <c r="C58" s="12">
        <v>394</v>
      </c>
      <c r="D58" s="8">
        <v>1.75</v>
      </c>
      <c r="E58" s="12">
        <v>315</v>
      </c>
      <c r="F58" s="8">
        <v>2.84</v>
      </c>
      <c r="G58" s="12">
        <v>79</v>
      </c>
      <c r="H58" s="8">
        <v>0.71</v>
      </c>
      <c r="I58" s="12">
        <v>0</v>
      </c>
    </row>
    <row r="59" spans="2:9" ht="15" customHeight="1" x14ac:dyDescent="0.2">
      <c r="B59" t="s">
        <v>163</v>
      </c>
      <c r="C59" s="12">
        <v>378</v>
      </c>
      <c r="D59" s="8">
        <v>1.68</v>
      </c>
      <c r="E59" s="12">
        <v>87</v>
      </c>
      <c r="F59" s="8">
        <v>0.78</v>
      </c>
      <c r="G59" s="12">
        <v>291</v>
      </c>
      <c r="H59" s="8">
        <v>2.6</v>
      </c>
      <c r="I59" s="12">
        <v>0</v>
      </c>
    </row>
    <row r="60" spans="2:9" ht="15" customHeight="1" x14ac:dyDescent="0.2">
      <c r="B60" t="s">
        <v>171</v>
      </c>
      <c r="C60" s="12">
        <v>376</v>
      </c>
      <c r="D60" s="8">
        <v>1.67</v>
      </c>
      <c r="E60" s="12">
        <v>304</v>
      </c>
      <c r="F60" s="8">
        <v>2.74</v>
      </c>
      <c r="G60" s="12">
        <v>71</v>
      </c>
      <c r="H60" s="8">
        <v>0.64</v>
      </c>
      <c r="I60" s="12">
        <v>1</v>
      </c>
    </row>
    <row r="61" spans="2:9" ht="15" customHeight="1" x14ac:dyDescent="0.2">
      <c r="B61" t="s">
        <v>155</v>
      </c>
      <c r="C61" s="12">
        <v>364</v>
      </c>
      <c r="D61" s="8">
        <v>1.62</v>
      </c>
      <c r="E61" s="12">
        <v>39</v>
      </c>
      <c r="F61" s="8">
        <v>0.35</v>
      </c>
      <c r="G61" s="12">
        <v>325</v>
      </c>
      <c r="H61" s="8">
        <v>2.91</v>
      </c>
      <c r="I61" s="12">
        <v>0</v>
      </c>
    </row>
    <row r="62" spans="2:9" ht="15" customHeight="1" x14ac:dyDescent="0.2">
      <c r="B62" t="s">
        <v>156</v>
      </c>
      <c r="C62" s="12">
        <v>360</v>
      </c>
      <c r="D62" s="8">
        <v>1.6</v>
      </c>
      <c r="E62" s="12">
        <v>60</v>
      </c>
      <c r="F62" s="8">
        <v>0.54</v>
      </c>
      <c r="G62" s="12">
        <v>300</v>
      </c>
      <c r="H62" s="8">
        <v>2.68</v>
      </c>
      <c r="I62" s="12">
        <v>0</v>
      </c>
    </row>
    <row r="63" spans="2:9" ht="15" customHeight="1" x14ac:dyDescent="0.2">
      <c r="B63" t="s">
        <v>159</v>
      </c>
      <c r="C63" s="12">
        <v>343</v>
      </c>
      <c r="D63" s="8">
        <v>1.53</v>
      </c>
      <c r="E63" s="12">
        <v>197</v>
      </c>
      <c r="F63" s="8">
        <v>1.77</v>
      </c>
      <c r="G63" s="12">
        <v>146</v>
      </c>
      <c r="H63" s="8">
        <v>1.31</v>
      </c>
      <c r="I63" s="12">
        <v>0</v>
      </c>
    </row>
    <row r="64" spans="2:9" ht="15" customHeight="1" x14ac:dyDescent="0.2">
      <c r="B64" t="s">
        <v>157</v>
      </c>
      <c r="C64" s="12">
        <v>312</v>
      </c>
      <c r="D64" s="8">
        <v>1.39</v>
      </c>
      <c r="E64" s="12">
        <v>168</v>
      </c>
      <c r="F64" s="8">
        <v>1.51</v>
      </c>
      <c r="G64" s="12">
        <v>144</v>
      </c>
      <c r="H64" s="8">
        <v>1.29</v>
      </c>
      <c r="I64" s="12">
        <v>0</v>
      </c>
    </row>
    <row r="65" spans="2:9" ht="15" customHeight="1" x14ac:dyDescent="0.2">
      <c r="B65" t="s">
        <v>162</v>
      </c>
      <c r="C65" s="12">
        <v>288</v>
      </c>
      <c r="D65" s="8">
        <v>1.28</v>
      </c>
      <c r="E65" s="12">
        <v>58</v>
      </c>
      <c r="F65" s="8">
        <v>0.52</v>
      </c>
      <c r="G65" s="12">
        <v>230</v>
      </c>
      <c r="H65" s="8">
        <v>2.06</v>
      </c>
      <c r="I65" s="12">
        <v>0</v>
      </c>
    </row>
    <row r="66" spans="2:9" ht="15" customHeight="1" x14ac:dyDescent="0.2">
      <c r="B66" t="s">
        <v>174</v>
      </c>
      <c r="C66" s="12">
        <v>286</v>
      </c>
      <c r="D66" s="8">
        <v>1.27</v>
      </c>
      <c r="E66" s="12">
        <v>57</v>
      </c>
      <c r="F66" s="8">
        <v>0.51</v>
      </c>
      <c r="G66" s="12">
        <v>229</v>
      </c>
      <c r="H66" s="8">
        <v>2.0499999999999998</v>
      </c>
      <c r="I66" s="12">
        <v>0</v>
      </c>
    </row>
    <row r="68" spans="2:9" ht="15" customHeight="1" x14ac:dyDescent="0.2">
      <c r="B68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E0164-1C0F-470F-97BD-0A056023D64E}">
  <sheetPr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343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33</v>
      </c>
      <c r="D6" s="8">
        <v>25.19</v>
      </c>
      <c r="E6" s="12">
        <v>11</v>
      </c>
      <c r="F6" s="8">
        <v>17.190000000000001</v>
      </c>
      <c r="G6" s="12">
        <v>22</v>
      </c>
      <c r="H6" s="8">
        <v>33.33</v>
      </c>
      <c r="I6" s="12">
        <v>0</v>
      </c>
    </row>
    <row r="7" spans="2:9" ht="15" customHeight="1" x14ac:dyDescent="0.2">
      <c r="B7" t="s">
        <v>77</v>
      </c>
      <c r="C7" s="12">
        <v>23</v>
      </c>
      <c r="D7" s="8">
        <v>17.559999999999999</v>
      </c>
      <c r="E7" s="12">
        <v>10</v>
      </c>
      <c r="F7" s="8">
        <v>15.63</v>
      </c>
      <c r="G7" s="12">
        <v>13</v>
      </c>
      <c r="H7" s="8">
        <v>19.7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80</v>
      </c>
      <c r="C10" s="12">
        <v>3</v>
      </c>
      <c r="D10" s="8">
        <v>2.29</v>
      </c>
      <c r="E10" s="12">
        <v>1</v>
      </c>
      <c r="F10" s="8">
        <v>1.56</v>
      </c>
      <c r="G10" s="12">
        <v>2</v>
      </c>
      <c r="H10" s="8">
        <v>3.03</v>
      </c>
      <c r="I10" s="12">
        <v>0</v>
      </c>
    </row>
    <row r="11" spans="2:9" ht="15" customHeight="1" x14ac:dyDescent="0.2">
      <c r="B11" t="s">
        <v>81</v>
      </c>
      <c r="C11" s="12">
        <v>32</v>
      </c>
      <c r="D11" s="8">
        <v>24.43</v>
      </c>
      <c r="E11" s="12">
        <v>21</v>
      </c>
      <c r="F11" s="8">
        <v>32.81</v>
      </c>
      <c r="G11" s="12">
        <v>10</v>
      </c>
      <c r="H11" s="8">
        <v>15.15</v>
      </c>
      <c r="I11" s="12">
        <v>1</v>
      </c>
    </row>
    <row r="12" spans="2:9" ht="15" customHeight="1" x14ac:dyDescent="0.2">
      <c r="B12" t="s">
        <v>82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83</v>
      </c>
      <c r="C13" s="12">
        <v>3</v>
      </c>
      <c r="D13" s="8">
        <v>2.29</v>
      </c>
      <c r="E13" s="12">
        <v>0</v>
      </c>
      <c r="F13" s="8">
        <v>0</v>
      </c>
      <c r="G13" s="12">
        <v>3</v>
      </c>
      <c r="H13" s="8">
        <v>4.55</v>
      </c>
      <c r="I13" s="12">
        <v>0</v>
      </c>
    </row>
    <row r="14" spans="2:9" ht="15" customHeight="1" x14ac:dyDescent="0.2">
      <c r="B14" t="s">
        <v>84</v>
      </c>
      <c r="C14" s="12">
        <v>4</v>
      </c>
      <c r="D14" s="8">
        <v>3.05</v>
      </c>
      <c r="E14" s="12">
        <v>2</v>
      </c>
      <c r="F14" s="8">
        <v>3.13</v>
      </c>
      <c r="G14" s="12">
        <v>2</v>
      </c>
      <c r="H14" s="8">
        <v>3.03</v>
      </c>
      <c r="I14" s="12">
        <v>0</v>
      </c>
    </row>
    <row r="15" spans="2:9" ht="15" customHeight="1" x14ac:dyDescent="0.2">
      <c r="B15" t="s">
        <v>85</v>
      </c>
      <c r="C15" s="12">
        <v>1</v>
      </c>
      <c r="D15" s="8">
        <v>0.76</v>
      </c>
      <c r="E15" s="12">
        <v>1</v>
      </c>
      <c r="F15" s="8">
        <v>1.56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86</v>
      </c>
      <c r="C16" s="12">
        <v>14</v>
      </c>
      <c r="D16" s="8">
        <v>10.69</v>
      </c>
      <c r="E16" s="12">
        <v>13</v>
      </c>
      <c r="F16" s="8">
        <v>20.309999999999999</v>
      </c>
      <c r="G16" s="12">
        <v>1</v>
      </c>
      <c r="H16" s="8">
        <v>1.52</v>
      </c>
      <c r="I16" s="12">
        <v>0</v>
      </c>
    </row>
    <row r="17" spans="2:9" ht="15" customHeight="1" x14ac:dyDescent="0.2">
      <c r="B17" t="s">
        <v>87</v>
      </c>
      <c r="C17" s="12">
        <v>2</v>
      </c>
      <c r="D17" s="8">
        <v>1.53</v>
      </c>
      <c r="E17" s="12">
        <v>0</v>
      </c>
      <c r="F17" s="8">
        <v>0</v>
      </c>
      <c r="G17" s="12">
        <v>2</v>
      </c>
      <c r="H17" s="8">
        <v>3.03</v>
      </c>
      <c r="I17" s="12">
        <v>0</v>
      </c>
    </row>
    <row r="18" spans="2:9" ht="15" customHeight="1" x14ac:dyDescent="0.2">
      <c r="B18" t="s">
        <v>88</v>
      </c>
      <c r="C18" s="12">
        <v>9</v>
      </c>
      <c r="D18" s="8">
        <v>6.87</v>
      </c>
      <c r="E18" s="12">
        <v>2</v>
      </c>
      <c r="F18" s="8">
        <v>3.13</v>
      </c>
      <c r="G18" s="12">
        <v>7</v>
      </c>
      <c r="H18" s="8">
        <v>10.61</v>
      </c>
      <c r="I18" s="12">
        <v>0</v>
      </c>
    </row>
    <row r="19" spans="2:9" ht="15" customHeight="1" x14ac:dyDescent="0.2">
      <c r="B19" t="s">
        <v>89</v>
      </c>
      <c r="C19" s="12">
        <v>7</v>
      </c>
      <c r="D19" s="8">
        <v>5.34</v>
      </c>
      <c r="E19" s="12">
        <v>3</v>
      </c>
      <c r="F19" s="8">
        <v>4.6900000000000004</v>
      </c>
      <c r="G19" s="12">
        <v>4</v>
      </c>
      <c r="H19" s="8">
        <v>6.06</v>
      </c>
      <c r="I19" s="12">
        <v>0</v>
      </c>
    </row>
    <row r="20" spans="2:9" ht="15" customHeight="1" x14ac:dyDescent="0.2">
      <c r="B20" s="9" t="s">
        <v>285</v>
      </c>
      <c r="C20" s="12">
        <f>SUM(LTBL_40401[総数／事業所数])</f>
        <v>131</v>
      </c>
      <c r="E20" s="12">
        <f>SUBTOTAL(109,LTBL_40401[個人／事業所数])</f>
        <v>64</v>
      </c>
      <c r="G20" s="12">
        <f>SUBTOTAL(109,LTBL_40401[法人／事業所数])</f>
        <v>66</v>
      </c>
      <c r="I20" s="12">
        <f>SUBTOTAL(109,LTBL_40401[法人以外の団体／事業所数])</f>
        <v>1</v>
      </c>
    </row>
    <row r="21" spans="2:9" ht="15" customHeight="1" x14ac:dyDescent="0.2">
      <c r="E21" s="11">
        <f>LTBL_40401[[#Totals],[個人／事業所数]]/LTBL_40401[[#Totals],[総数／事業所数]]</f>
        <v>0.48854961832061067</v>
      </c>
      <c r="G21" s="11">
        <f>LTBL_40401[[#Totals],[法人／事業所数]]/LTBL_40401[[#Totals],[総数／事業所数]]</f>
        <v>0.50381679389312972</v>
      </c>
      <c r="I21" s="11">
        <f>LTBL_40401[[#Totals],[法人以外の団体／事業所数]]/LTBL_40401[[#Totals],[総数／事業所数]]</f>
        <v>7.6335877862595417E-3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98</v>
      </c>
      <c r="C24" s="12">
        <v>20</v>
      </c>
      <c r="D24" s="8">
        <v>15.27</v>
      </c>
      <c r="E24" s="12">
        <v>4</v>
      </c>
      <c r="F24" s="8">
        <v>6.25</v>
      </c>
      <c r="G24" s="12">
        <v>16</v>
      </c>
      <c r="H24" s="8">
        <v>24.24</v>
      </c>
      <c r="I24" s="12">
        <v>0</v>
      </c>
    </row>
    <row r="25" spans="2:9" ht="15" customHeight="1" x14ac:dyDescent="0.2">
      <c r="B25" t="s">
        <v>113</v>
      </c>
      <c r="C25" s="12">
        <v>14</v>
      </c>
      <c r="D25" s="8">
        <v>10.69</v>
      </c>
      <c r="E25" s="12">
        <v>13</v>
      </c>
      <c r="F25" s="8">
        <v>20.309999999999999</v>
      </c>
      <c r="G25" s="12">
        <v>1</v>
      </c>
      <c r="H25" s="8">
        <v>1.52</v>
      </c>
      <c r="I25" s="12">
        <v>0</v>
      </c>
    </row>
    <row r="26" spans="2:9" ht="15" customHeight="1" x14ac:dyDescent="0.2">
      <c r="B26" t="s">
        <v>100</v>
      </c>
      <c r="C26" s="12">
        <v>9</v>
      </c>
      <c r="D26" s="8">
        <v>6.87</v>
      </c>
      <c r="E26" s="12">
        <v>4</v>
      </c>
      <c r="F26" s="8">
        <v>6.25</v>
      </c>
      <c r="G26" s="12">
        <v>5</v>
      </c>
      <c r="H26" s="8">
        <v>7.58</v>
      </c>
      <c r="I26" s="12">
        <v>0</v>
      </c>
    </row>
    <row r="27" spans="2:9" ht="15" customHeight="1" x14ac:dyDescent="0.2">
      <c r="B27" t="s">
        <v>105</v>
      </c>
      <c r="C27" s="12">
        <v>9</v>
      </c>
      <c r="D27" s="8">
        <v>6.87</v>
      </c>
      <c r="E27" s="12">
        <v>6</v>
      </c>
      <c r="F27" s="8">
        <v>9.3800000000000008</v>
      </c>
      <c r="G27" s="12">
        <v>2</v>
      </c>
      <c r="H27" s="8">
        <v>3.03</v>
      </c>
      <c r="I27" s="12">
        <v>1</v>
      </c>
    </row>
    <row r="28" spans="2:9" ht="15" customHeight="1" x14ac:dyDescent="0.2">
      <c r="B28" t="s">
        <v>119</v>
      </c>
      <c r="C28" s="12">
        <v>8</v>
      </c>
      <c r="D28" s="8">
        <v>6.11</v>
      </c>
      <c r="E28" s="12">
        <v>2</v>
      </c>
      <c r="F28" s="8">
        <v>3.13</v>
      </c>
      <c r="G28" s="12">
        <v>6</v>
      </c>
      <c r="H28" s="8">
        <v>9.09</v>
      </c>
      <c r="I28" s="12">
        <v>0</v>
      </c>
    </row>
    <row r="29" spans="2:9" ht="15" customHeight="1" x14ac:dyDescent="0.2">
      <c r="B29" t="s">
        <v>106</v>
      </c>
      <c r="C29" s="12">
        <v>7</v>
      </c>
      <c r="D29" s="8">
        <v>5.34</v>
      </c>
      <c r="E29" s="12">
        <v>7</v>
      </c>
      <c r="F29" s="8">
        <v>10.94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107</v>
      </c>
      <c r="C30" s="12">
        <v>7</v>
      </c>
      <c r="D30" s="8">
        <v>5.34</v>
      </c>
      <c r="E30" s="12">
        <v>4</v>
      </c>
      <c r="F30" s="8">
        <v>6.25</v>
      </c>
      <c r="G30" s="12">
        <v>3</v>
      </c>
      <c r="H30" s="8">
        <v>4.55</v>
      </c>
      <c r="I30" s="12">
        <v>0</v>
      </c>
    </row>
    <row r="31" spans="2:9" ht="15" customHeight="1" x14ac:dyDescent="0.2">
      <c r="B31" t="s">
        <v>116</v>
      </c>
      <c r="C31" s="12">
        <v>7</v>
      </c>
      <c r="D31" s="8">
        <v>5.34</v>
      </c>
      <c r="E31" s="12">
        <v>0</v>
      </c>
      <c r="F31" s="8">
        <v>0</v>
      </c>
      <c r="G31" s="12">
        <v>7</v>
      </c>
      <c r="H31" s="8">
        <v>10.61</v>
      </c>
      <c r="I31" s="12">
        <v>0</v>
      </c>
    </row>
    <row r="32" spans="2:9" ht="15" customHeight="1" x14ac:dyDescent="0.2">
      <c r="B32" t="s">
        <v>99</v>
      </c>
      <c r="C32" s="12">
        <v>4</v>
      </c>
      <c r="D32" s="8">
        <v>3.05</v>
      </c>
      <c r="E32" s="12">
        <v>3</v>
      </c>
      <c r="F32" s="8">
        <v>4.6900000000000004</v>
      </c>
      <c r="G32" s="12">
        <v>1</v>
      </c>
      <c r="H32" s="8">
        <v>1.52</v>
      </c>
      <c r="I32" s="12">
        <v>0</v>
      </c>
    </row>
    <row r="33" spans="2:9" ht="15" customHeight="1" x14ac:dyDescent="0.2">
      <c r="B33" t="s">
        <v>129</v>
      </c>
      <c r="C33" s="12">
        <v>4</v>
      </c>
      <c r="D33" s="8">
        <v>3.05</v>
      </c>
      <c r="E33" s="12">
        <v>3</v>
      </c>
      <c r="F33" s="8">
        <v>4.6900000000000004</v>
      </c>
      <c r="G33" s="12">
        <v>1</v>
      </c>
      <c r="H33" s="8">
        <v>1.52</v>
      </c>
      <c r="I33" s="12">
        <v>0</v>
      </c>
    </row>
    <row r="34" spans="2:9" ht="15" customHeight="1" x14ac:dyDescent="0.2">
      <c r="B34" t="s">
        <v>104</v>
      </c>
      <c r="C34" s="12">
        <v>4</v>
      </c>
      <c r="D34" s="8">
        <v>3.05</v>
      </c>
      <c r="E34" s="12">
        <v>3</v>
      </c>
      <c r="F34" s="8">
        <v>4.6900000000000004</v>
      </c>
      <c r="G34" s="12">
        <v>1</v>
      </c>
      <c r="H34" s="8">
        <v>1.52</v>
      </c>
      <c r="I34" s="12">
        <v>0</v>
      </c>
    </row>
    <row r="35" spans="2:9" ht="15" customHeight="1" x14ac:dyDescent="0.2">
      <c r="B35" t="s">
        <v>123</v>
      </c>
      <c r="C35" s="12">
        <v>4</v>
      </c>
      <c r="D35" s="8">
        <v>3.05</v>
      </c>
      <c r="E35" s="12">
        <v>3</v>
      </c>
      <c r="F35" s="8">
        <v>4.6900000000000004</v>
      </c>
      <c r="G35" s="12">
        <v>1</v>
      </c>
      <c r="H35" s="8">
        <v>1.52</v>
      </c>
      <c r="I35" s="12">
        <v>0</v>
      </c>
    </row>
    <row r="36" spans="2:9" ht="15" customHeight="1" x14ac:dyDescent="0.2">
      <c r="B36" t="s">
        <v>136</v>
      </c>
      <c r="C36" s="12">
        <v>3</v>
      </c>
      <c r="D36" s="8">
        <v>2.29</v>
      </c>
      <c r="E36" s="12">
        <v>0</v>
      </c>
      <c r="F36" s="8">
        <v>0</v>
      </c>
      <c r="G36" s="12">
        <v>3</v>
      </c>
      <c r="H36" s="8">
        <v>4.55</v>
      </c>
      <c r="I36" s="12">
        <v>0</v>
      </c>
    </row>
    <row r="37" spans="2:9" ht="15" customHeight="1" x14ac:dyDescent="0.2">
      <c r="B37" t="s">
        <v>137</v>
      </c>
      <c r="C37" s="12">
        <v>3</v>
      </c>
      <c r="D37" s="8">
        <v>2.29</v>
      </c>
      <c r="E37" s="12">
        <v>1</v>
      </c>
      <c r="F37" s="8">
        <v>1.56</v>
      </c>
      <c r="G37" s="12">
        <v>2</v>
      </c>
      <c r="H37" s="8">
        <v>3.03</v>
      </c>
      <c r="I37" s="12">
        <v>0</v>
      </c>
    </row>
    <row r="38" spans="2:9" ht="15" customHeight="1" x14ac:dyDescent="0.2">
      <c r="B38" t="s">
        <v>101</v>
      </c>
      <c r="C38" s="12">
        <v>3</v>
      </c>
      <c r="D38" s="8">
        <v>2.29</v>
      </c>
      <c r="E38" s="12">
        <v>1</v>
      </c>
      <c r="F38" s="8">
        <v>1.56</v>
      </c>
      <c r="G38" s="12">
        <v>2</v>
      </c>
      <c r="H38" s="8">
        <v>3.03</v>
      </c>
      <c r="I38" s="12">
        <v>0</v>
      </c>
    </row>
    <row r="39" spans="2:9" ht="15" customHeight="1" x14ac:dyDescent="0.2">
      <c r="B39" t="s">
        <v>142</v>
      </c>
      <c r="C39" s="12">
        <v>2</v>
      </c>
      <c r="D39" s="8">
        <v>1.53</v>
      </c>
      <c r="E39" s="12">
        <v>1</v>
      </c>
      <c r="F39" s="8">
        <v>1.56</v>
      </c>
      <c r="G39" s="12">
        <v>1</v>
      </c>
      <c r="H39" s="8">
        <v>1.52</v>
      </c>
      <c r="I39" s="12">
        <v>0</v>
      </c>
    </row>
    <row r="40" spans="2:9" ht="15" customHeight="1" x14ac:dyDescent="0.2">
      <c r="B40" t="s">
        <v>143</v>
      </c>
      <c r="C40" s="12">
        <v>2</v>
      </c>
      <c r="D40" s="8">
        <v>1.53</v>
      </c>
      <c r="E40" s="12">
        <v>2</v>
      </c>
      <c r="F40" s="8">
        <v>3.13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128</v>
      </c>
      <c r="C41" s="12">
        <v>2</v>
      </c>
      <c r="D41" s="8">
        <v>1.53</v>
      </c>
      <c r="E41" s="12">
        <v>1</v>
      </c>
      <c r="F41" s="8">
        <v>1.56</v>
      </c>
      <c r="G41" s="12">
        <v>1</v>
      </c>
      <c r="H41" s="8">
        <v>1.52</v>
      </c>
      <c r="I41" s="12">
        <v>0</v>
      </c>
    </row>
    <row r="42" spans="2:9" ht="15" customHeight="1" x14ac:dyDescent="0.2">
      <c r="B42" t="s">
        <v>124</v>
      </c>
      <c r="C42" s="12">
        <v>2</v>
      </c>
      <c r="D42" s="8">
        <v>1.53</v>
      </c>
      <c r="E42" s="12">
        <v>0</v>
      </c>
      <c r="F42" s="8">
        <v>0</v>
      </c>
      <c r="G42" s="12">
        <v>2</v>
      </c>
      <c r="H42" s="8">
        <v>3.03</v>
      </c>
      <c r="I42" s="12">
        <v>0</v>
      </c>
    </row>
    <row r="43" spans="2:9" ht="15" customHeight="1" x14ac:dyDescent="0.2">
      <c r="B43" t="s">
        <v>108</v>
      </c>
      <c r="C43" s="12">
        <v>2</v>
      </c>
      <c r="D43" s="8">
        <v>1.53</v>
      </c>
      <c r="E43" s="12">
        <v>0</v>
      </c>
      <c r="F43" s="8">
        <v>0</v>
      </c>
      <c r="G43" s="12">
        <v>2</v>
      </c>
      <c r="H43" s="8">
        <v>3.03</v>
      </c>
      <c r="I43" s="12">
        <v>0</v>
      </c>
    </row>
    <row r="44" spans="2:9" ht="15" customHeight="1" x14ac:dyDescent="0.2">
      <c r="B44" t="s">
        <v>110</v>
      </c>
      <c r="C44" s="12">
        <v>2</v>
      </c>
      <c r="D44" s="8">
        <v>1.53</v>
      </c>
      <c r="E44" s="12">
        <v>1</v>
      </c>
      <c r="F44" s="8">
        <v>1.56</v>
      </c>
      <c r="G44" s="12">
        <v>1</v>
      </c>
      <c r="H44" s="8">
        <v>1.52</v>
      </c>
      <c r="I44" s="12">
        <v>0</v>
      </c>
    </row>
    <row r="45" spans="2:9" ht="15" customHeight="1" x14ac:dyDescent="0.2">
      <c r="B45" t="s">
        <v>111</v>
      </c>
      <c r="C45" s="12">
        <v>2</v>
      </c>
      <c r="D45" s="8">
        <v>1.53</v>
      </c>
      <c r="E45" s="12">
        <v>1</v>
      </c>
      <c r="F45" s="8">
        <v>1.56</v>
      </c>
      <c r="G45" s="12">
        <v>1</v>
      </c>
      <c r="H45" s="8">
        <v>1.52</v>
      </c>
      <c r="I45" s="12">
        <v>0</v>
      </c>
    </row>
    <row r="46" spans="2:9" ht="15" customHeight="1" x14ac:dyDescent="0.2">
      <c r="B46" t="s">
        <v>114</v>
      </c>
      <c r="C46" s="12">
        <v>2</v>
      </c>
      <c r="D46" s="8">
        <v>1.53</v>
      </c>
      <c r="E46" s="12">
        <v>0</v>
      </c>
      <c r="F46" s="8">
        <v>0</v>
      </c>
      <c r="G46" s="12">
        <v>2</v>
      </c>
      <c r="H46" s="8">
        <v>3.03</v>
      </c>
      <c r="I46" s="12">
        <v>0</v>
      </c>
    </row>
    <row r="47" spans="2:9" ht="15" customHeight="1" x14ac:dyDescent="0.2">
      <c r="B47" t="s">
        <v>115</v>
      </c>
      <c r="C47" s="12">
        <v>2</v>
      </c>
      <c r="D47" s="8">
        <v>1.53</v>
      </c>
      <c r="E47" s="12">
        <v>2</v>
      </c>
      <c r="F47" s="8">
        <v>3.13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117</v>
      </c>
      <c r="C48" s="12">
        <v>2</v>
      </c>
      <c r="D48" s="8">
        <v>1.53</v>
      </c>
      <c r="E48" s="12">
        <v>0</v>
      </c>
      <c r="F48" s="8">
        <v>0</v>
      </c>
      <c r="G48" s="12">
        <v>2</v>
      </c>
      <c r="H48" s="8">
        <v>3.03</v>
      </c>
      <c r="I48" s="12">
        <v>0</v>
      </c>
    </row>
    <row r="51" spans="2:9" ht="33" customHeight="1" x14ac:dyDescent="0.2">
      <c r="B51" t="s">
        <v>287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2">
      <c r="B52" t="s">
        <v>154</v>
      </c>
      <c r="C52" s="12">
        <v>15</v>
      </c>
      <c r="D52" s="8">
        <v>11.45</v>
      </c>
      <c r="E52" s="12">
        <v>2</v>
      </c>
      <c r="F52" s="8">
        <v>3.13</v>
      </c>
      <c r="G52" s="12">
        <v>13</v>
      </c>
      <c r="H52" s="8">
        <v>19.7</v>
      </c>
      <c r="I52" s="12">
        <v>0</v>
      </c>
    </row>
    <row r="53" spans="2:9" ht="15" customHeight="1" x14ac:dyDescent="0.2">
      <c r="B53" t="s">
        <v>170</v>
      </c>
      <c r="C53" s="12">
        <v>10</v>
      </c>
      <c r="D53" s="8">
        <v>7.63</v>
      </c>
      <c r="E53" s="12">
        <v>10</v>
      </c>
      <c r="F53" s="8">
        <v>15.63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159</v>
      </c>
      <c r="C54" s="12">
        <v>6</v>
      </c>
      <c r="D54" s="8">
        <v>4.58</v>
      </c>
      <c r="E54" s="12">
        <v>6</v>
      </c>
      <c r="F54" s="8">
        <v>9.3800000000000008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204</v>
      </c>
      <c r="C55" s="12">
        <v>6</v>
      </c>
      <c r="D55" s="8">
        <v>4.58</v>
      </c>
      <c r="E55" s="12">
        <v>0</v>
      </c>
      <c r="F55" s="8">
        <v>0</v>
      </c>
      <c r="G55" s="12">
        <v>6</v>
      </c>
      <c r="H55" s="8">
        <v>9.09</v>
      </c>
      <c r="I55" s="12">
        <v>0</v>
      </c>
    </row>
    <row r="56" spans="2:9" ht="15" customHeight="1" x14ac:dyDescent="0.2">
      <c r="B56" t="s">
        <v>174</v>
      </c>
      <c r="C56" s="12">
        <v>5</v>
      </c>
      <c r="D56" s="8">
        <v>3.82</v>
      </c>
      <c r="E56" s="12">
        <v>3</v>
      </c>
      <c r="F56" s="8">
        <v>4.6900000000000004</v>
      </c>
      <c r="G56" s="12">
        <v>2</v>
      </c>
      <c r="H56" s="8">
        <v>3.03</v>
      </c>
      <c r="I56" s="12">
        <v>0</v>
      </c>
    </row>
    <row r="57" spans="2:9" ht="15" customHeight="1" x14ac:dyDescent="0.2">
      <c r="B57" t="s">
        <v>180</v>
      </c>
      <c r="C57" s="12">
        <v>4</v>
      </c>
      <c r="D57" s="8">
        <v>3.05</v>
      </c>
      <c r="E57" s="12">
        <v>2</v>
      </c>
      <c r="F57" s="8">
        <v>3.13</v>
      </c>
      <c r="G57" s="12">
        <v>2</v>
      </c>
      <c r="H57" s="8">
        <v>3.03</v>
      </c>
      <c r="I57" s="12">
        <v>0</v>
      </c>
    </row>
    <row r="58" spans="2:9" ht="15" customHeight="1" x14ac:dyDescent="0.2">
      <c r="B58" t="s">
        <v>169</v>
      </c>
      <c r="C58" s="12">
        <v>4</v>
      </c>
      <c r="D58" s="8">
        <v>3.05</v>
      </c>
      <c r="E58" s="12">
        <v>3</v>
      </c>
      <c r="F58" s="8">
        <v>4.6900000000000004</v>
      </c>
      <c r="G58" s="12">
        <v>1</v>
      </c>
      <c r="H58" s="8">
        <v>1.52</v>
      </c>
      <c r="I58" s="12">
        <v>0</v>
      </c>
    </row>
    <row r="59" spans="2:9" ht="15" customHeight="1" x14ac:dyDescent="0.2">
      <c r="B59" t="s">
        <v>173</v>
      </c>
      <c r="C59" s="12">
        <v>4</v>
      </c>
      <c r="D59" s="8">
        <v>3.05</v>
      </c>
      <c r="E59" s="12">
        <v>3</v>
      </c>
      <c r="F59" s="8">
        <v>4.6900000000000004</v>
      </c>
      <c r="G59" s="12">
        <v>1</v>
      </c>
      <c r="H59" s="8">
        <v>1.52</v>
      </c>
      <c r="I59" s="12">
        <v>0</v>
      </c>
    </row>
    <row r="60" spans="2:9" ht="15" customHeight="1" x14ac:dyDescent="0.2">
      <c r="B60" t="s">
        <v>155</v>
      </c>
      <c r="C60" s="12">
        <v>3</v>
      </c>
      <c r="D60" s="8">
        <v>2.29</v>
      </c>
      <c r="E60" s="12">
        <v>2</v>
      </c>
      <c r="F60" s="8">
        <v>3.13</v>
      </c>
      <c r="G60" s="12">
        <v>1</v>
      </c>
      <c r="H60" s="8">
        <v>1.52</v>
      </c>
      <c r="I60" s="12">
        <v>0</v>
      </c>
    </row>
    <row r="61" spans="2:9" ht="15" customHeight="1" x14ac:dyDescent="0.2">
      <c r="B61" t="s">
        <v>158</v>
      </c>
      <c r="C61" s="12">
        <v>3</v>
      </c>
      <c r="D61" s="8">
        <v>2.29</v>
      </c>
      <c r="E61" s="12">
        <v>1</v>
      </c>
      <c r="F61" s="8">
        <v>1.56</v>
      </c>
      <c r="G61" s="12">
        <v>1</v>
      </c>
      <c r="H61" s="8">
        <v>1.52</v>
      </c>
      <c r="I61" s="12">
        <v>1</v>
      </c>
    </row>
    <row r="62" spans="2:9" ht="15" customHeight="1" x14ac:dyDescent="0.2">
      <c r="B62" t="s">
        <v>160</v>
      </c>
      <c r="C62" s="12">
        <v>3</v>
      </c>
      <c r="D62" s="8">
        <v>2.29</v>
      </c>
      <c r="E62" s="12">
        <v>1</v>
      </c>
      <c r="F62" s="8">
        <v>1.56</v>
      </c>
      <c r="G62" s="12">
        <v>2</v>
      </c>
      <c r="H62" s="8">
        <v>3.03</v>
      </c>
      <c r="I62" s="12">
        <v>0</v>
      </c>
    </row>
    <row r="63" spans="2:9" ht="15" customHeight="1" x14ac:dyDescent="0.2">
      <c r="B63" t="s">
        <v>202</v>
      </c>
      <c r="C63" s="12">
        <v>2</v>
      </c>
      <c r="D63" s="8">
        <v>1.53</v>
      </c>
      <c r="E63" s="12">
        <v>1</v>
      </c>
      <c r="F63" s="8">
        <v>1.56</v>
      </c>
      <c r="G63" s="12">
        <v>1</v>
      </c>
      <c r="H63" s="8">
        <v>1.52</v>
      </c>
      <c r="I63" s="12">
        <v>0</v>
      </c>
    </row>
    <row r="64" spans="2:9" ht="15" customHeight="1" x14ac:dyDescent="0.2">
      <c r="B64" t="s">
        <v>156</v>
      </c>
      <c r="C64" s="12">
        <v>2</v>
      </c>
      <c r="D64" s="8">
        <v>1.53</v>
      </c>
      <c r="E64" s="12">
        <v>1</v>
      </c>
      <c r="F64" s="8">
        <v>1.56</v>
      </c>
      <c r="G64" s="12">
        <v>1</v>
      </c>
      <c r="H64" s="8">
        <v>1.52</v>
      </c>
      <c r="I64" s="12">
        <v>0</v>
      </c>
    </row>
    <row r="65" spans="2:9" ht="15" customHeight="1" x14ac:dyDescent="0.2">
      <c r="B65" t="s">
        <v>248</v>
      </c>
      <c r="C65" s="12">
        <v>2</v>
      </c>
      <c r="D65" s="8">
        <v>1.53</v>
      </c>
      <c r="E65" s="12">
        <v>1</v>
      </c>
      <c r="F65" s="8">
        <v>1.56</v>
      </c>
      <c r="G65" s="12">
        <v>1</v>
      </c>
      <c r="H65" s="8">
        <v>1.52</v>
      </c>
      <c r="I65" s="12">
        <v>0</v>
      </c>
    </row>
    <row r="66" spans="2:9" ht="15" customHeight="1" x14ac:dyDescent="0.2">
      <c r="B66" t="s">
        <v>249</v>
      </c>
      <c r="C66" s="12">
        <v>2</v>
      </c>
      <c r="D66" s="8">
        <v>1.53</v>
      </c>
      <c r="E66" s="12">
        <v>0</v>
      </c>
      <c r="F66" s="8">
        <v>0</v>
      </c>
      <c r="G66" s="12">
        <v>2</v>
      </c>
      <c r="H66" s="8">
        <v>3.03</v>
      </c>
      <c r="I66" s="12">
        <v>0</v>
      </c>
    </row>
    <row r="67" spans="2:9" ht="15" customHeight="1" x14ac:dyDescent="0.2">
      <c r="B67" t="s">
        <v>250</v>
      </c>
      <c r="C67" s="12">
        <v>2</v>
      </c>
      <c r="D67" s="8">
        <v>1.53</v>
      </c>
      <c r="E67" s="12">
        <v>0</v>
      </c>
      <c r="F67" s="8">
        <v>0</v>
      </c>
      <c r="G67" s="12">
        <v>2</v>
      </c>
      <c r="H67" s="8">
        <v>3.03</v>
      </c>
      <c r="I67" s="12">
        <v>0</v>
      </c>
    </row>
    <row r="68" spans="2:9" ht="15" customHeight="1" x14ac:dyDescent="0.2">
      <c r="B68" t="s">
        <v>206</v>
      </c>
      <c r="C68" s="12">
        <v>2</v>
      </c>
      <c r="D68" s="8">
        <v>1.53</v>
      </c>
      <c r="E68" s="12">
        <v>1</v>
      </c>
      <c r="F68" s="8">
        <v>1.56</v>
      </c>
      <c r="G68" s="12">
        <v>1</v>
      </c>
      <c r="H68" s="8">
        <v>1.52</v>
      </c>
      <c r="I68" s="12">
        <v>0</v>
      </c>
    </row>
    <row r="69" spans="2:9" ht="15" customHeight="1" x14ac:dyDescent="0.2">
      <c r="B69" t="s">
        <v>224</v>
      </c>
      <c r="C69" s="12">
        <v>2</v>
      </c>
      <c r="D69" s="8">
        <v>1.53</v>
      </c>
      <c r="E69" s="12">
        <v>1</v>
      </c>
      <c r="F69" s="8">
        <v>1.56</v>
      </c>
      <c r="G69" s="12">
        <v>1</v>
      </c>
      <c r="H69" s="8">
        <v>1.52</v>
      </c>
      <c r="I69" s="12">
        <v>0</v>
      </c>
    </row>
    <row r="70" spans="2:9" ht="15" customHeight="1" x14ac:dyDescent="0.2">
      <c r="B70" t="s">
        <v>251</v>
      </c>
      <c r="C70" s="12">
        <v>2</v>
      </c>
      <c r="D70" s="8">
        <v>1.53</v>
      </c>
      <c r="E70" s="12">
        <v>0</v>
      </c>
      <c r="F70" s="8">
        <v>0</v>
      </c>
      <c r="G70" s="12">
        <v>2</v>
      </c>
      <c r="H70" s="8">
        <v>3.03</v>
      </c>
      <c r="I70" s="12">
        <v>0</v>
      </c>
    </row>
    <row r="71" spans="2:9" ht="15" customHeight="1" x14ac:dyDescent="0.2">
      <c r="B71" t="s">
        <v>240</v>
      </c>
      <c r="C71" s="12">
        <v>2</v>
      </c>
      <c r="D71" s="8">
        <v>1.53</v>
      </c>
      <c r="E71" s="12">
        <v>1</v>
      </c>
      <c r="F71" s="8">
        <v>1.56</v>
      </c>
      <c r="G71" s="12">
        <v>1</v>
      </c>
      <c r="H71" s="8">
        <v>1.52</v>
      </c>
      <c r="I71" s="12">
        <v>0</v>
      </c>
    </row>
    <row r="72" spans="2:9" ht="15" customHeight="1" x14ac:dyDescent="0.2">
      <c r="B72" t="s">
        <v>157</v>
      </c>
      <c r="C72" s="12">
        <v>2</v>
      </c>
      <c r="D72" s="8">
        <v>1.53</v>
      </c>
      <c r="E72" s="12">
        <v>1</v>
      </c>
      <c r="F72" s="8">
        <v>1.56</v>
      </c>
      <c r="G72" s="12">
        <v>1</v>
      </c>
      <c r="H72" s="8">
        <v>1.52</v>
      </c>
      <c r="I72" s="12">
        <v>0</v>
      </c>
    </row>
    <row r="73" spans="2:9" ht="15" customHeight="1" x14ac:dyDescent="0.2">
      <c r="B73" t="s">
        <v>181</v>
      </c>
      <c r="C73" s="12">
        <v>2</v>
      </c>
      <c r="D73" s="8">
        <v>1.53</v>
      </c>
      <c r="E73" s="12">
        <v>2</v>
      </c>
      <c r="F73" s="8">
        <v>3.13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177</v>
      </c>
      <c r="C74" s="12">
        <v>2</v>
      </c>
      <c r="D74" s="8">
        <v>1.53</v>
      </c>
      <c r="E74" s="12">
        <v>2</v>
      </c>
      <c r="F74" s="8">
        <v>3.13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161</v>
      </c>
      <c r="C75" s="12">
        <v>2</v>
      </c>
      <c r="D75" s="8">
        <v>1.53</v>
      </c>
      <c r="E75" s="12">
        <v>2</v>
      </c>
      <c r="F75" s="8">
        <v>3.13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165</v>
      </c>
      <c r="C76" s="12">
        <v>2</v>
      </c>
      <c r="D76" s="8">
        <v>1.53</v>
      </c>
      <c r="E76" s="12">
        <v>1</v>
      </c>
      <c r="F76" s="8">
        <v>1.56</v>
      </c>
      <c r="G76" s="12">
        <v>1</v>
      </c>
      <c r="H76" s="8">
        <v>1.52</v>
      </c>
      <c r="I76" s="12">
        <v>0</v>
      </c>
    </row>
    <row r="77" spans="2:9" ht="15" customHeight="1" x14ac:dyDescent="0.2">
      <c r="B77" t="s">
        <v>252</v>
      </c>
      <c r="C77" s="12">
        <v>2</v>
      </c>
      <c r="D77" s="8">
        <v>1.53</v>
      </c>
      <c r="E77" s="12">
        <v>0</v>
      </c>
      <c r="F77" s="8">
        <v>0</v>
      </c>
      <c r="G77" s="12">
        <v>2</v>
      </c>
      <c r="H77" s="8">
        <v>3.03</v>
      </c>
      <c r="I77" s="12">
        <v>0</v>
      </c>
    </row>
    <row r="79" spans="2:9" ht="15" customHeight="1" x14ac:dyDescent="0.2">
      <c r="B79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E9367-9B5A-44AE-A15F-5255DAA765FF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344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84</v>
      </c>
      <c r="D6" s="8">
        <v>24.71</v>
      </c>
      <c r="E6" s="12">
        <v>23</v>
      </c>
      <c r="F6" s="8">
        <v>13.69</v>
      </c>
      <c r="G6" s="12">
        <v>61</v>
      </c>
      <c r="H6" s="8">
        <v>35.880000000000003</v>
      </c>
      <c r="I6" s="12">
        <v>0</v>
      </c>
    </row>
    <row r="7" spans="2:9" ht="15" customHeight="1" x14ac:dyDescent="0.2">
      <c r="B7" t="s">
        <v>77</v>
      </c>
      <c r="C7" s="12">
        <v>44</v>
      </c>
      <c r="D7" s="8">
        <v>12.94</v>
      </c>
      <c r="E7" s="12">
        <v>10</v>
      </c>
      <c r="F7" s="8">
        <v>5.95</v>
      </c>
      <c r="G7" s="12">
        <v>34</v>
      </c>
      <c r="H7" s="8">
        <v>20</v>
      </c>
      <c r="I7" s="12">
        <v>0</v>
      </c>
    </row>
    <row r="8" spans="2:9" ht="15" customHeight="1" x14ac:dyDescent="0.2">
      <c r="B8" t="s">
        <v>78</v>
      </c>
      <c r="C8" s="12">
        <v>2</v>
      </c>
      <c r="D8" s="8">
        <v>0.59</v>
      </c>
      <c r="E8" s="12">
        <v>0</v>
      </c>
      <c r="F8" s="8">
        <v>0</v>
      </c>
      <c r="G8" s="12">
        <v>2</v>
      </c>
      <c r="H8" s="8">
        <v>1.18</v>
      </c>
      <c r="I8" s="12">
        <v>0</v>
      </c>
    </row>
    <row r="9" spans="2:9" ht="15" customHeight="1" x14ac:dyDescent="0.2">
      <c r="B9" t="s">
        <v>79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80</v>
      </c>
      <c r="C10" s="12">
        <v>5</v>
      </c>
      <c r="D10" s="8">
        <v>1.47</v>
      </c>
      <c r="E10" s="12">
        <v>0</v>
      </c>
      <c r="F10" s="8">
        <v>0</v>
      </c>
      <c r="G10" s="12">
        <v>5</v>
      </c>
      <c r="H10" s="8">
        <v>2.94</v>
      </c>
      <c r="I10" s="12">
        <v>0</v>
      </c>
    </row>
    <row r="11" spans="2:9" ht="15" customHeight="1" x14ac:dyDescent="0.2">
      <c r="B11" t="s">
        <v>81</v>
      </c>
      <c r="C11" s="12">
        <v>67</v>
      </c>
      <c r="D11" s="8">
        <v>19.71</v>
      </c>
      <c r="E11" s="12">
        <v>39</v>
      </c>
      <c r="F11" s="8">
        <v>23.21</v>
      </c>
      <c r="G11" s="12">
        <v>28</v>
      </c>
      <c r="H11" s="8">
        <v>16.47</v>
      </c>
      <c r="I11" s="12">
        <v>0</v>
      </c>
    </row>
    <row r="12" spans="2:9" ht="15" customHeight="1" x14ac:dyDescent="0.2">
      <c r="B12" t="s">
        <v>82</v>
      </c>
      <c r="C12" s="12">
        <v>1</v>
      </c>
      <c r="D12" s="8">
        <v>0.28999999999999998</v>
      </c>
      <c r="E12" s="12">
        <v>0</v>
      </c>
      <c r="F12" s="8">
        <v>0</v>
      </c>
      <c r="G12" s="12">
        <v>1</v>
      </c>
      <c r="H12" s="8">
        <v>0.59</v>
      </c>
      <c r="I12" s="12">
        <v>0</v>
      </c>
    </row>
    <row r="13" spans="2:9" ht="15" customHeight="1" x14ac:dyDescent="0.2">
      <c r="B13" t="s">
        <v>83</v>
      </c>
      <c r="C13" s="12">
        <v>11</v>
      </c>
      <c r="D13" s="8">
        <v>3.24</v>
      </c>
      <c r="E13" s="12">
        <v>2</v>
      </c>
      <c r="F13" s="8">
        <v>1.19</v>
      </c>
      <c r="G13" s="12">
        <v>9</v>
      </c>
      <c r="H13" s="8">
        <v>5.29</v>
      </c>
      <c r="I13" s="12">
        <v>0</v>
      </c>
    </row>
    <row r="14" spans="2:9" ht="15" customHeight="1" x14ac:dyDescent="0.2">
      <c r="B14" t="s">
        <v>84</v>
      </c>
      <c r="C14" s="12">
        <v>9</v>
      </c>
      <c r="D14" s="8">
        <v>2.65</v>
      </c>
      <c r="E14" s="12">
        <v>7</v>
      </c>
      <c r="F14" s="8">
        <v>4.17</v>
      </c>
      <c r="G14" s="12">
        <v>2</v>
      </c>
      <c r="H14" s="8">
        <v>1.18</v>
      </c>
      <c r="I14" s="12">
        <v>0</v>
      </c>
    </row>
    <row r="15" spans="2:9" ht="15" customHeight="1" x14ac:dyDescent="0.2">
      <c r="B15" t="s">
        <v>85</v>
      </c>
      <c r="C15" s="12">
        <v>30</v>
      </c>
      <c r="D15" s="8">
        <v>8.82</v>
      </c>
      <c r="E15" s="12">
        <v>25</v>
      </c>
      <c r="F15" s="8">
        <v>14.88</v>
      </c>
      <c r="G15" s="12">
        <v>4</v>
      </c>
      <c r="H15" s="8">
        <v>2.35</v>
      </c>
      <c r="I15" s="12">
        <v>0</v>
      </c>
    </row>
    <row r="16" spans="2:9" ht="15" customHeight="1" x14ac:dyDescent="0.2">
      <c r="B16" t="s">
        <v>86</v>
      </c>
      <c r="C16" s="12">
        <v>38</v>
      </c>
      <c r="D16" s="8">
        <v>11.18</v>
      </c>
      <c r="E16" s="12">
        <v>30</v>
      </c>
      <c r="F16" s="8">
        <v>17.86</v>
      </c>
      <c r="G16" s="12">
        <v>8</v>
      </c>
      <c r="H16" s="8">
        <v>4.71</v>
      </c>
      <c r="I16" s="12">
        <v>0</v>
      </c>
    </row>
    <row r="17" spans="2:9" ht="15" customHeight="1" x14ac:dyDescent="0.2">
      <c r="B17" t="s">
        <v>87</v>
      </c>
      <c r="C17" s="12">
        <v>10</v>
      </c>
      <c r="D17" s="8">
        <v>2.94</v>
      </c>
      <c r="E17" s="12">
        <v>8</v>
      </c>
      <c r="F17" s="8">
        <v>4.76</v>
      </c>
      <c r="G17" s="12">
        <v>1</v>
      </c>
      <c r="H17" s="8">
        <v>0.59</v>
      </c>
      <c r="I17" s="12">
        <v>0</v>
      </c>
    </row>
    <row r="18" spans="2:9" ht="15" customHeight="1" x14ac:dyDescent="0.2">
      <c r="B18" t="s">
        <v>88</v>
      </c>
      <c r="C18" s="12">
        <v>17</v>
      </c>
      <c r="D18" s="8">
        <v>5</v>
      </c>
      <c r="E18" s="12">
        <v>7</v>
      </c>
      <c r="F18" s="8">
        <v>4.17</v>
      </c>
      <c r="G18" s="12">
        <v>10</v>
      </c>
      <c r="H18" s="8">
        <v>5.88</v>
      </c>
      <c r="I18" s="12">
        <v>0</v>
      </c>
    </row>
    <row r="19" spans="2:9" ht="15" customHeight="1" x14ac:dyDescent="0.2">
      <c r="B19" t="s">
        <v>89</v>
      </c>
      <c r="C19" s="12">
        <v>22</v>
      </c>
      <c r="D19" s="8">
        <v>6.47</v>
      </c>
      <c r="E19" s="12">
        <v>17</v>
      </c>
      <c r="F19" s="8">
        <v>10.119999999999999</v>
      </c>
      <c r="G19" s="12">
        <v>5</v>
      </c>
      <c r="H19" s="8">
        <v>2.94</v>
      </c>
      <c r="I19" s="12">
        <v>0</v>
      </c>
    </row>
    <row r="20" spans="2:9" ht="15" customHeight="1" x14ac:dyDescent="0.2">
      <c r="B20" s="9" t="s">
        <v>285</v>
      </c>
      <c r="C20" s="12">
        <f>SUM(LTBL_40402[総数／事業所数])</f>
        <v>340</v>
      </c>
      <c r="E20" s="12">
        <f>SUBTOTAL(109,LTBL_40402[個人／事業所数])</f>
        <v>168</v>
      </c>
      <c r="G20" s="12">
        <f>SUBTOTAL(109,LTBL_40402[法人／事業所数])</f>
        <v>170</v>
      </c>
      <c r="I20" s="12">
        <f>SUBTOTAL(109,LTBL_40402[法人以外の団体／事業所数])</f>
        <v>0</v>
      </c>
    </row>
    <row r="21" spans="2:9" ht="15" customHeight="1" x14ac:dyDescent="0.2">
      <c r="E21" s="11">
        <f>LTBL_40402[[#Totals],[個人／事業所数]]/LTBL_40402[[#Totals],[総数／事業所数]]</f>
        <v>0.49411764705882355</v>
      </c>
      <c r="G21" s="11">
        <f>LTBL_40402[[#Totals],[法人／事業所数]]/LTBL_40402[[#Totals],[総数／事業所数]]</f>
        <v>0.5</v>
      </c>
      <c r="I21" s="11">
        <f>LTBL_40402[[#Totals],[法人以外の団体／事業所数]]/LTBL_40402[[#Totals],[総数／事業所数]]</f>
        <v>0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98</v>
      </c>
      <c r="C24" s="12">
        <v>53</v>
      </c>
      <c r="D24" s="8">
        <v>15.59</v>
      </c>
      <c r="E24" s="12">
        <v>16</v>
      </c>
      <c r="F24" s="8">
        <v>9.52</v>
      </c>
      <c r="G24" s="12">
        <v>37</v>
      </c>
      <c r="H24" s="8">
        <v>21.76</v>
      </c>
      <c r="I24" s="12">
        <v>0</v>
      </c>
    </row>
    <row r="25" spans="2:9" ht="15" customHeight="1" x14ac:dyDescent="0.2">
      <c r="B25" t="s">
        <v>113</v>
      </c>
      <c r="C25" s="12">
        <v>33</v>
      </c>
      <c r="D25" s="8">
        <v>9.7100000000000009</v>
      </c>
      <c r="E25" s="12">
        <v>28</v>
      </c>
      <c r="F25" s="8">
        <v>16.670000000000002</v>
      </c>
      <c r="G25" s="12">
        <v>5</v>
      </c>
      <c r="H25" s="8">
        <v>2.94</v>
      </c>
      <c r="I25" s="12">
        <v>0</v>
      </c>
    </row>
    <row r="26" spans="2:9" ht="15" customHeight="1" x14ac:dyDescent="0.2">
      <c r="B26" t="s">
        <v>112</v>
      </c>
      <c r="C26" s="12">
        <v>25</v>
      </c>
      <c r="D26" s="8">
        <v>7.35</v>
      </c>
      <c r="E26" s="12">
        <v>23</v>
      </c>
      <c r="F26" s="8">
        <v>13.69</v>
      </c>
      <c r="G26" s="12">
        <v>2</v>
      </c>
      <c r="H26" s="8">
        <v>1.18</v>
      </c>
      <c r="I26" s="12">
        <v>0</v>
      </c>
    </row>
    <row r="27" spans="2:9" ht="15" customHeight="1" x14ac:dyDescent="0.2">
      <c r="B27" t="s">
        <v>107</v>
      </c>
      <c r="C27" s="12">
        <v>20</v>
      </c>
      <c r="D27" s="8">
        <v>5.88</v>
      </c>
      <c r="E27" s="12">
        <v>10</v>
      </c>
      <c r="F27" s="8">
        <v>5.95</v>
      </c>
      <c r="G27" s="12">
        <v>10</v>
      </c>
      <c r="H27" s="8">
        <v>5.88</v>
      </c>
      <c r="I27" s="12">
        <v>0</v>
      </c>
    </row>
    <row r="28" spans="2:9" ht="15" customHeight="1" x14ac:dyDescent="0.2">
      <c r="B28" t="s">
        <v>99</v>
      </c>
      <c r="C28" s="12">
        <v>18</v>
      </c>
      <c r="D28" s="8">
        <v>5.29</v>
      </c>
      <c r="E28" s="12">
        <v>5</v>
      </c>
      <c r="F28" s="8">
        <v>2.98</v>
      </c>
      <c r="G28" s="12">
        <v>13</v>
      </c>
      <c r="H28" s="8">
        <v>7.65</v>
      </c>
      <c r="I28" s="12">
        <v>0</v>
      </c>
    </row>
    <row r="29" spans="2:9" ht="15" customHeight="1" x14ac:dyDescent="0.2">
      <c r="B29" t="s">
        <v>105</v>
      </c>
      <c r="C29" s="12">
        <v>16</v>
      </c>
      <c r="D29" s="8">
        <v>4.71</v>
      </c>
      <c r="E29" s="12">
        <v>14</v>
      </c>
      <c r="F29" s="8">
        <v>8.33</v>
      </c>
      <c r="G29" s="12">
        <v>2</v>
      </c>
      <c r="H29" s="8">
        <v>1.18</v>
      </c>
      <c r="I29" s="12">
        <v>0</v>
      </c>
    </row>
    <row r="30" spans="2:9" ht="15" customHeight="1" x14ac:dyDescent="0.2">
      <c r="B30" t="s">
        <v>123</v>
      </c>
      <c r="C30" s="12">
        <v>15</v>
      </c>
      <c r="D30" s="8">
        <v>4.41</v>
      </c>
      <c r="E30" s="12">
        <v>15</v>
      </c>
      <c r="F30" s="8">
        <v>8.93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100</v>
      </c>
      <c r="C31" s="12">
        <v>13</v>
      </c>
      <c r="D31" s="8">
        <v>3.82</v>
      </c>
      <c r="E31" s="12">
        <v>2</v>
      </c>
      <c r="F31" s="8">
        <v>1.19</v>
      </c>
      <c r="G31" s="12">
        <v>11</v>
      </c>
      <c r="H31" s="8">
        <v>6.47</v>
      </c>
      <c r="I31" s="12">
        <v>0</v>
      </c>
    </row>
    <row r="32" spans="2:9" ht="15" customHeight="1" x14ac:dyDescent="0.2">
      <c r="B32" t="s">
        <v>106</v>
      </c>
      <c r="C32" s="12">
        <v>13</v>
      </c>
      <c r="D32" s="8">
        <v>3.82</v>
      </c>
      <c r="E32" s="12">
        <v>11</v>
      </c>
      <c r="F32" s="8">
        <v>6.55</v>
      </c>
      <c r="G32" s="12">
        <v>2</v>
      </c>
      <c r="H32" s="8">
        <v>1.18</v>
      </c>
      <c r="I32" s="12">
        <v>0</v>
      </c>
    </row>
    <row r="33" spans="2:9" ht="15" customHeight="1" x14ac:dyDescent="0.2">
      <c r="B33" t="s">
        <v>114</v>
      </c>
      <c r="C33" s="12">
        <v>10</v>
      </c>
      <c r="D33" s="8">
        <v>2.94</v>
      </c>
      <c r="E33" s="12">
        <v>8</v>
      </c>
      <c r="F33" s="8">
        <v>4.76</v>
      </c>
      <c r="G33" s="12">
        <v>1</v>
      </c>
      <c r="H33" s="8">
        <v>0.59</v>
      </c>
      <c r="I33" s="12">
        <v>0</v>
      </c>
    </row>
    <row r="34" spans="2:9" ht="15" customHeight="1" x14ac:dyDescent="0.2">
      <c r="B34" t="s">
        <v>116</v>
      </c>
      <c r="C34" s="12">
        <v>9</v>
      </c>
      <c r="D34" s="8">
        <v>2.65</v>
      </c>
      <c r="E34" s="12">
        <v>0</v>
      </c>
      <c r="F34" s="8">
        <v>0</v>
      </c>
      <c r="G34" s="12">
        <v>9</v>
      </c>
      <c r="H34" s="8">
        <v>5.29</v>
      </c>
      <c r="I34" s="12">
        <v>0</v>
      </c>
    </row>
    <row r="35" spans="2:9" ht="15" customHeight="1" x14ac:dyDescent="0.2">
      <c r="B35" t="s">
        <v>129</v>
      </c>
      <c r="C35" s="12">
        <v>8</v>
      </c>
      <c r="D35" s="8">
        <v>2.35</v>
      </c>
      <c r="E35" s="12">
        <v>3</v>
      </c>
      <c r="F35" s="8">
        <v>1.79</v>
      </c>
      <c r="G35" s="12">
        <v>5</v>
      </c>
      <c r="H35" s="8">
        <v>2.94</v>
      </c>
      <c r="I35" s="12">
        <v>0</v>
      </c>
    </row>
    <row r="36" spans="2:9" ht="15" customHeight="1" x14ac:dyDescent="0.2">
      <c r="B36" t="s">
        <v>115</v>
      </c>
      <c r="C36" s="12">
        <v>8</v>
      </c>
      <c r="D36" s="8">
        <v>2.35</v>
      </c>
      <c r="E36" s="12">
        <v>7</v>
      </c>
      <c r="F36" s="8">
        <v>4.17</v>
      </c>
      <c r="G36" s="12">
        <v>1</v>
      </c>
      <c r="H36" s="8">
        <v>0.59</v>
      </c>
      <c r="I36" s="12">
        <v>0</v>
      </c>
    </row>
    <row r="37" spans="2:9" ht="15" customHeight="1" x14ac:dyDescent="0.2">
      <c r="B37" t="s">
        <v>109</v>
      </c>
      <c r="C37" s="12">
        <v>6</v>
      </c>
      <c r="D37" s="8">
        <v>1.76</v>
      </c>
      <c r="E37" s="12">
        <v>0</v>
      </c>
      <c r="F37" s="8">
        <v>0</v>
      </c>
      <c r="G37" s="12">
        <v>6</v>
      </c>
      <c r="H37" s="8">
        <v>3.53</v>
      </c>
      <c r="I37" s="12">
        <v>0</v>
      </c>
    </row>
    <row r="38" spans="2:9" ht="15" customHeight="1" x14ac:dyDescent="0.2">
      <c r="B38" t="s">
        <v>119</v>
      </c>
      <c r="C38" s="12">
        <v>5</v>
      </c>
      <c r="D38" s="8">
        <v>1.47</v>
      </c>
      <c r="E38" s="12">
        <v>2</v>
      </c>
      <c r="F38" s="8">
        <v>1.19</v>
      </c>
      <c r="G38" s="12">
        <v>3</v>
      </c>
      <c r="H38" s="8">
        <v>1.76</v>
      </c>
      <c r="I38" s="12">
        <v>0</v>
      </c>
    </row>
    <row r="39" spans="2:9" ht="15" customHeight="1" x14ac:dyDescent="0.2">
      <c r="B39" t="s">
        <v>145</v>
      </c>
      <c r="C39" s="12">
        <v>5</v>
      </c>
      <c r="D39" s="8">
        <v>1.47</v>
      </c>
      <c r="E39" s="12">
        <v>1</v>
      </c>
      <c r="F39" s="8">
        <v>0.6</v>
      </c>
      <c r="G39" s="12">
        <v>4</v>
      </c>
      <c r="H39" s="8">
        <v>2.35</v>
      </c>
      <c r="I39" s="12">
        <v>0</v>
      </c>
    </row>
    <row r="40" spans="2:9" ht="15" customHeight="1" x14ac:dyDescent="0.2">
      <c r="B40" t="s">
        <v>101</v>
      </c>
      <c r="C40" s="12">
        <v>5</v>
      </c>
      <c r="D40" s="8">
        <v>1.47</v>
      </c>
      <c r="E40" s="12">
        <v>0</v>
      </c>
      <c r="F40" s="8">
        <v>0</v>
      </c>
      <c r="G40" s="12">
        <v>5</v>
      </c>
      <c r="H40" s="8">
        <v>2.94</v>
      </c>
      <c r="I40" s="12">
        <v>0</v>
      </c>
    </row>
    <row r="41" spans="2:9" ht="15" customHeight="1" x14ac:dyDescent="0.2">
      <c r="B41" t="s">
        <v>111</v>
      </c>
      <c r="C41" s="12">
        <v>5</v>
      </c>
      <c r="D41" s="8">
        <v>1.47</v>
      </c>
      <c r="E41" s="12">
        <v>3</v>
      </c>
      <c r="F41" s="8">
        <v>1.79</v>
      </c>
      <c r="G41" s="12">
        <v>2</v>
      </c>
      <c r="H41" s="8">
        <v>1.18</v>
      </c>
      <c r="I41" s="12">
        <v>0</v>
      </c>
    </row>
    <row r="42" spans="2:9" ht="15" customHeight="1" x14ac:dyDescent="0.2">
      <c r="B42" t="s">
        <v>121</v>
      </c>
      <c r="C42" s="12">
        <v>5</v>
      </c>
      <c r="D42" s="8">
        <v>1.47</v>
      </c>
      <c r="E42" s="12">
        <v>2</v>
      </c>
      <c r="F42" s="8">
        <v>1.19</v>
      </c>
      <c r="G42" s="12">
        <v>2</v>
      </c>
      <c r="H42" s="8">
        <v>1.18</v>
      </c>
      <c r="I42" s="12">
        <v>0</v>
      </c>
    </row>
    <row r="43" spans="2:9" ht="15" customHeight="1" x14ac:dyDescent="0.2">
      <c r="B43" t="s">
        <v>143</v>
      </c>
      <c r="C43" s="12">
        <v>4</v>
      </c>
      <c r="D43" s="8">
        <v>1.18</v>
      </c>
      <c r="E43" s="12">
        <v>0</v>
      </c>
      <c r="F43" s="8">
        <v>0</v>
      </c>
      <c r="G43" s="12">
        <v>4</v>
      </c>
      <c r="H43" s="8">
        <v>2.35</v>
      </c>
      <c r="I43" s="12">
        <v>0</v>
      </c>
    </row>
    <row r="44" spans="2:9" ht="15" customHeight="1" x14ac:dyDescent="0.2">
      <c r="B44" t="s">
        <v>128</v>
      </c>
      <c r="C44" s="12">
        <v>4</v>
      </c>
      <c r="D44" s="8">
        <v>1.18</v>
      </c>
      <c r="E44" s="12">
        <v>2</v>
      </c>
      <c r="F44" s="8">
        <v>1.19</v>
      </c>
      <c r="G44" s="12">
        <v>2</v>
      </c>
      <c r="H44" s="8">
        <v>1.18</v>
      </c>
      <c r="I44" s="12">
        <v>0</v>
      </c>
    </row>
    <row r="45" spans="2:9" ht="15" customHeight="1" x14ac:dyDescent="0.2">
      <c r="B45" t="s">
        <v>144</v>
      </c>
      <c r="C45" s="12">
        <v>4</v>
      </c>
      <c r="D45" s="8">
        <v>1.18</v>
      </c>
      <c r="E45" s="12">
        <v>0</v>
      </c>
      <c r="F45" s="8">
        <v>0</v>
      </c>
      <c r="G45" s="12">
        <v>4</v>
      </c>
      <c r="H45" s="8">
        <v>2.35</v>
      </c>
      <c r="I45" s="12">
        <v>0</v>
      </c>
    </row>
    <row r="46" spans="2:9" ht="15" customHeight="1" x14ac:dyDescent="0.2">
      <c r="B46" t="s">
        <v>137</v>
      </c>
      <c r="C46" s="12">
        <v>4</v>
      </c>
      <c r="D46" s="8">
        <v>1.18</v>
      </c>
      <c r="E46" s="12">
        <v>0</v>
      </c>
      <c r="F46" s="8">
        <v>0</v>
      </c>
      <c r="G46" s="12">
        <v>4</v>
      </c>
      <c r="H46" s="8">
        <v>2.35</v>
      </c>
      <c r="I46" s="12">
        <v>0</v>
      </c>
    </row>
    <row r="47" spans="2:9" ht="15" customHeight="1" x14ac:dyDescent="0.2">
      <c r="B47" t="s">
        <v>103</v>
      </c>
      <c r="C47" s="12">
        <v>4</v>
      </c>
      <c r="D47" s="8">
        <v>1.18</v>
      </c>
      <c r="E47" s="12">
        <v>0</v>
      </c>
      <c r="F47" s="8">
        <v>0</v>
      </c>
      <c r="G47" s="12">
        <v>4</v>
      </c>
      <c r="H47" s="8">
        <v>2.35</v>
      </c>
      <c r="I47" s="12">
        <v>0</v>
      </c>
    </row>
    <row r="48" spans="2:9" ht="15" customHeight="1" x14ac:dyDescent="0.2">
      <c r="B48" t="s">
        <v>110</v>
      </c>
      <c r="C48" s="12">
        <v>4</v>
      </c>
      <c r="D48" s="8">
        <v>1.18</v>
      </c>
      <c r="E48" s="12">
        <v>4</v>
      </c>
      <c r="F48" s="8">
        <v>2.38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139</v>
      </c>
      <c r="C49" s="12">
        <v>4</v>
      </c>
      <c r="D49" s="8">
        <v>1.18</v>
      </c>
      <c r="E49" s="12">
        <v>2</v>
      </c>
      <c r="F49" s="8">
        <v>1.19</v>
      </c>
      <c r="G49" s="12">
        <v>2</v>
      </c>
      <c r="H49" s="8">
        <v>1.18</v>
      </c>
      <c r="I49" s="12">
        <v>0</v>
      </c>
    </row>
    <row r="52" spans="2:9" ht="33" customHeight="1" x14ac:dyDescent="0.2">
      <c r="B52" t="s">
        <v>287</v>
      </c>
      <c r="C52" s="10" t="s">
        <v>91</v>
      </c>
      <c r="D52" s="10" t="s">
        <v>92</v>
      </c>
      <c r="E52" s="10" t="s">
        <v>93</v>
      </c>
      <c r="F52" s="10" t="s">
        <v>94</v>
      </c>
      <c r="G52" s="10" t="s">
        <v>95</v>
      </c>
      <c r="H52" s="10" t="s">
        <v>96</v>
      </c>
      <c r="I52" s="10" t="s">
        <v>97</v>
      </c>
    </row>
    <row r="53" spans="2:9" ht="15" customHeight="1" x14ac:dyDescent="0.2">
      <c r="B53" t="s">
        <v>154</v>
      </c>
      <c r="C53" s="12">
        <v>34</v>
      </c>
      <c r="D53" s="8">
        <v>10</v>
      </c>
      <c r="E53" s="12">
        <v>9</v>
      </c>
      <c r="F53" s="8">
        <v>5.36</v>
      </c>
      <c r="G53" s="12">
        <v>25</v>
      </c>
      <c r="H53" s="8">
        <v>14.71</v>
      </c>
      <c r="I53" s="12">
        <v>0</v>
      </c>
    </row>
    <row r="54" spans="2:9" ht="15" customHeight="1" x14ac:dyDescent="0.2">
      <c r="B54" t="s">
        <v>173</v>
      </c>
      <c r="C54" s="12">
        <v>15</v>
      </c>
      <c r="D54" s="8">
        <v>4.41</v>
      </c>
      <c r="E54" s="12">
        <v>15</v>
      </c>
      <c r="F54" s="8">
        <v>8.93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170</v>
      </c>
      <c r="C55" s="12">
        <v>14</v>
      </c>
      <c r="D55" s="8">
        <v>4.12</v>
      </c>
      <c r="E55" s="12">
        <v>13</v>
      </c>
      <c r="F55" s="8">
        <v>7.74</v>
      </c>
      <c r="G55" s="12">
        <v>1</v>
      </c>
      <c r="H55" s="8">
        <v>0.59</v>
      </c>
      <c r="I55" s="12">
        <v>0</v>
      </c>
    </row>
    <row r="56" spans="2:9" ht="15" customHeight="1" x14ac:dyDescent="0.2">
      <c r="B56" t="s">
        <v>177</v>
      </c>
      <c r="C56" s="12">
        <v>9</v>
      </c>
      <c r="D56" s="8">
        <v>2.65</v>
      </c>
      <c r="E56" s="12">
        <v>8</v>
      </c>
      <c r="F56" s="8">
        <v>4.76</v>
      </c>
      <c r="G56" s="12">
        <v>1</v>
      </c>
      <c r="H56" s="8">
        <v>0.59</v>
      </c>
      <c r="I56" s="12">
        <v>0</v>
      </c>
    </row>
    <row r="57" spans="2:9" ht="15" customHeight="1" x14ac:dyDescent="0.2">
      <c r="B57" t="s">
        <v>159</v>
      </c>
      <c r="C57" s="12">
        <v>9</v>
      </c>
      <c r="D57" s="8">
        <v>2.65</v>
      </c>
      <c r="E57" s="12">
        <v>8</v>
      </c>
      <c r="F57" s="8">
        <v>4.76</v>
      </c>
      <c r="G57" s="12">
        <v>1</v>
      </c>
      <c r="H57" s="8">
        <v>0.59</v>
      </c>
      <c r="I57" s="12">
        <v>0</v>
      </c>
    </row>
    <row r="58" spans="2:9" ht="15" customHeight="1" x14ac:dyDescent="0.2">
      <c r="B58" t="s">
        <v>169</v>
      </c>
      <c r="C58" s="12">
        <v>9</v>
      </c>
      <c r="D58" s="8">
        <v>2.65</v>
      </c>
      <c r="E58" s="12">
        <v>9</v>
      </c>
      <c r="F58" s="8">
        <v>5.36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155</v>
      </c>
      <c r="C59" s="12">
        <v>7</v>
      </c>
      <c r="D59" s="8">
        <v>2.06</v>
      </c>
      <c r="E59" s="12">
        <v>3</v>
      </c>
      <c r="F59" s="8">
        <v>1.79</v>
      </c>
      <c r="G59" s="12">
        <v>4</v>
      </c>
      <c r="H59" s="8">
        <v>2.35</v>
      </c>
      <c r="I59" s="12">
        <v>0</v>
      </c>
    </row>
    <row r="60" spans="2:9" ht="15" customHeight="1" x14ac:dyDescent="0.2">
      <c r="B60" t="s">
        <v>203</v>
      </c>
      <c r="C60" s="12">
        <v>6</v>
      </c>
      <c r="D60" s="8">
        <v>1.76</v>
      </c>
      <c r="E60" s="12">
        <v>1</v>
      </c>
      <c r="F60" s="8">
        <v>0.6</v>
      </c>
      <c r="G60" s="12">
        <v>5</v>
      </c>
      <c r="H60" s="8">
        <v>2.94</v>
      </c>
      <c r="I60" s="12">
        <v>0</v>
      </c>
    </row>
    <row r="61" spans="2:9" ht="15" customHeight="1" x14ac:dyDescent="0.2">
      <c r="B61" t="s">
        <v>207</v>
      </c>
      <c r="C61" s="12">
        <v>6</v>
      </c>
      <c r="D61" s="8">
        <v>1.76</v>
      </c>
      <c r="E61" s="12">
        <v>2</v>
      </c>
      <c r="F61" s="8">
        <v>1.19</v>
      </c>
      <c r="G61" s="12">
        <v>4</v>
      </c>
      <c r="H61" s="8">
        <v>2.35</v>
      </c>
      <c r="I61" s="12">
        <v>0</v>
      </c>
    </row>
    <row r="62" spans="2:9" ht="15" customHeight="1" x14ac:dyDescent="0.2">
      <c r="B62" t="s">
        <v>167</v>
      </c>
      <c r="C62" s="12">
        <v>6</v>
      </c>
      <c r="D62" s="8">
        <v>1.76</v>
      </c>
      <c r="E62" s="12">
        <v>6</v>
      </c>
      <c r="F62" s="8">
        <v>3.57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187</v>
      </c>
      <c r="C63" s="12">
        <v>5</v>
      </c>
      <c r="D63" s="8">
        <v>1.47</v>
      </c>
      <c r="E63" s="12">
        <v>2</v>
      </c>
      <c r="F63" s="8">
        <v>1.19</v>
      </c>
      <c r="G63" s="12">
        <v>3</v>
      </c>
      <c r="H63" s="8">
        <v>1.76</v>
      </c>
      <c r="I63" s="12">
        <v>0</v>
      </c>
    </row>
    <row r="64" spans="2:9" ht="15" customHeight="1" x14ac:dyDescent="0.2">
      <c r="B64" t="s">
        <v>174</v>
      </c>
      <c r="C64" s="12">
        <v>5</v>
      </c>
      <c r="D64" s="8">
        <v>1.47</v>
      </c>
      <c r="E64" s="12">
        <v>1</v>
      </c>
      <c r="F64" s="8">
        <v>0.6</v>
      </c>
      <c r="G64" s="12">
        <v>4</v>
      </c>
      <c r="H64" s="8">
        <v>2.35</v>
      </c>
      <c r="I64" s="12">
        <v>0</v>
      </c>
    </row>
    <row r="65" spans="2:9" ht="15" customHeight="1" x14ac:dyDescent="0.2">
      <c r="B65" t="s">
        <v>180</v>
      </c>
      <c r="C65" s="12">
        <v>5</v>
      </c>
      <c r="D65" s="8">
        <v>1.47</v>
      </c>
      <c r="E65" s="12">
        <v>2</v>
      </c>
      <c r="F65" s="8">
        <v>1.19</v>
      </c>
      <c r="G65" s="12">
        <v>3</v>
      </c>
      <c r="H65" s="8">
        <v>1.76</v>
      </c>
      <c r="I65" s="12">
        <v>0</v>
      </c>
    </row>
    <row r="66" spans="2:9" ht="15" customHeight="1" x14ac:dyDescent="0.2">
      <c r="B66" t="s">
        <v>253</v>
      </c>
      <c r="C66" s="12">
        <v>5</v>
      </c>
      <c r="D66" s="8">
        <v>1.47</v>
      </c>
      <c r="E66" s="12">
        <v>1</v>
      </c>
      <c r="F66" s="8">
        <v>0.6</v>
      </c>
      <c r="G66" s="12">
        <v>4</v>
      </c>
      <c r="H66" s="8">
        <v>2.35</v>
      </c>
      <c r="I66" s="12">
        <v>0</v>
      </c>
    </row>
    <row r="67" spans="2:9" ht="15" customHeight="1" x14ac:dyDescent="0.2">
      <c r="B67" t="s">
        <v>205</v>
      </c>
      <c r="C67" s="12">
        <v>5</v>
      </c>
      <c r="D67" s="8">
        <v>1.47</v>
      </c>
      <c r="E67" s="12">
        <v>0</v>
      </c>
      <c r="F67" s="8">
        <v>0</v>
      </c>
      <c r="G67" s="12">
        <v>5</v>
      </c>
      <c r="H67" s="8">
        <v>2.94</v>
      </c>
      <c r="I67" s="12">
        <v>0</v>
      </c>
    </row>
    <row r="68" spans="2:9" ht="15" customHeight="1" x14ac:dyDescent="0.2">
      <c r="B68" t="s">
        <v>161</v>
      </c>
      <c r="C68" s="12">
        <v>5</v>
      </c>
      <c r="D68" s="8">
        <v>1.47</v>
      </c>
      <c r="E68" s="12">
        <v>4</v>
      </c>
      <c r="F68" s="8">
        <v>2.38</v>
      </c>
      <c r="G68" s="12">
        <v>1</v>
      </c>
      <c r="H68" s="8">
        <v>0.59</v>
      </c>
      <c r="I68" s="12">
        <v>0</v>
      </c>
    </row>
    <row r="69" spans="2:9" ht="15" customHeight="1" x14ac:dyDescent="0.2">
      <c r="B69" t="s">
        <v>182</v>
      </c>
      <c r="C69" s="12">
        <v>5</v>
      </c>
      <c r="D69" s="8">
        <v>1.47</v>
      </c>
      <c r="E69" s="12">
        <v>4</v>
      </c>
      <c r="F69" s="8">
        <v>2.38</v>
      </c>
      <c r="G69" s="12">
        <v>1</v>
      </c>
      <c r="H69" s="8">
        <v>0.59</v>
      </c>
      <c r="I69" s="12">
        <v>0</v>
      </c>
    </row>
    <row r="70" spans="2:9" ht="15" customHeight="1" x14ac:dyDescent="0.2">
      <c r="B70" t="s">
        <v>201</v>
      </c>
      <c r="C70" s="12">
        <v>5</v>
      </c>
      <c r="D70" s="8">
        <v>1.47</v>
      </c>
      <c r="E70" s="12">
        <v>2</v>
      </c>
      <c r="F70" s="8">
        <v>1.19</v>
      </c>
      <c r="G70" s="12">
        <v>3</v>
      </c>
      <c r="H70" s="8">
        <v>1.76</v>
      </c>
      <c r="I70" s="12">
        <v>0</v>
      </c>
    </row>
    <row r="71" spans="2:9" ht="15" customHeight="1" x14ac:dyDescent="0.2">
      <c r="B71" t="s">
        <v>171</v>
      </c>
      <c r="C71" s="12">
        <v>5</v>
      </c>
      <c r="D71" s="8">
        <v>1.47</v>
      </c>
      <c r="E71" s="12">
        <v>4</v>
      </c>
      <c r="F71" s="8">
        <v>2.38</v>
      </c>
      <c r="G71" s="12">
        <v>1</v>
      </c>
      <c r="H71" s="8">
        <v>0.59</v>
      </c>
      <c r="I71" s="12">
        <v>0</v>
      </c>
    </row>
    <row r="72" spans="2:9" ht="15" customHeight="1" x14ac:dyDescent="0.2">
      <c r="B72" t="s">
        <v>172</v>
      </c>
      <c r="C72" s="12">
        <v>5</v>
      </c>
      <c r="D72" s="8">
        <v>1.47</v>
      </c>
      <c r="E72" s="12">
        <v>4</v>
      </c>
      <c r="F72" s="8">
        <v>2.38</v>
      </c>
      <c r="G72" s="12">
        <v>1</v>
      </c>
      <c r="H72" s="8">
        <v>0.59</v>
      </c>
      <c r="I72" s="12">
        <v>0</v>
      </c>
    </row>
    <row r="73" spans="2:9" ht="15" customHeight="1" x14ac:dyDescent="0.2">
      <c r="B73" t="s">
        <v>254</v>
      </c>
      <c r="C73" s="12">
        <v>5</v>
      </c>
      <c r="D73" s="8">
        <v>1.47</v>
      </c>
      <c r="E73" s="12">
        <v>0</v>
      </c>
      <c r="F73" s="8">
        <v>0</v>
      </c>
      <c r="G73" s="12">
        <v>5</v>
      </c>
      <c r="H73" s="8">
        <v>2.94</v>
      </c>
      <c r="I73" s="12">
        <v>0</v>
      </c>
    </row>
    <row r="75" spans="2:9" ht="15" customHeight="1" x14ac:dyDescent="0.2">
      <c r="B75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9B2EE-76C0-4BAF-9C61-882C81CE5B6D}">
  <sheetPr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345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35</v>
      </c>
      <c r="D6" s="8">
        <v>16.2</v>
      </c>
      <c r="E6" s="12">
        <v>16</v>
      </c>
      <c r="F6" s="8">
        <v>11.43</v>
      </c>
      <c r="G6" s="12">
        <v>19</v>
      </c>
      <c r="H6" s="8">
        <v>26.03</v>
      </c>
      <c r="I6" s="12">
        <v>0</v>
      </c>
    </row>
    <row r="7" spans="2:9" ht="15" customHeight="1" x14ac:dyDescent="0.2">
      <c r="B7" t="s">
        <v>77</v>
      </c>
      <c r="C7" s="12">
        <v>11</v>
      </c>
      <c r="D7" s="8">
        <v>5.09</v>
      </c>
      <c r="E7" s="12">
        <v>5</v>
      </c>
      <c r="F7" s="8">
        <v>3.57</v>
      </c>
      <c r="G7" s="12">
        <v>6</v>
      </c>
      <c r="H7" s="8">
        <v>8.2200000000000006</v>
      </c>
      <c r="I7" s="12">
        <v>0</v>
      </c>
    </row>
    <row r="8" spans="2:9" ht="15" customHeight="1" x14ac:dyDescent="0.2">
      <c r="B8" t="s">
        <v>78</v>
      </c>
      <c r="C8" s="12">
        <v>3</v>
      </c>
      <c r="D8" s="8">
        <v>1.39</v>
      </c>
      <c r="E8" s="12">
        <v>0</v>
      </c>
      <c r="F8" s="8">
        <v>0</v>
      </c>
      <c r="G8" s="12">
        <v>3</v>
      </c>
      <c r="H8" s="8">
        <v>4.1100000000000003</v>
      </c>
      <c r="I8" s="12">
        <v>0</v>
      </c>
    </row>
    <row r="9" spans="2:9" ht="15" customHeight="1" x14ac:dyDescent="0.2">
      <c r="B9" t="s">
        <v>79</v>
      </c>
      <c r="C9" s="12">
        <v>1</v>
      </c>
      <c r="D9" s="8">
        <v>0.46</v>
      </c>
      <c r="E9" s="12">
        <v>0</v>
      </c>
      <c r="F9" s="8">
        <v>0</v>
      </c>
      <c r="G9" s="12">
        <v>1</v>
      </c>
      <c r="H9" s="8">
        <v>1.37</v>
      </c>
      <c r="I9" s="12">
        <v>0</v>
      </c>
    </row>
    <row r="10" spans="2:9" ht="15" customHeight="1" x14ac:dyDescent="0.2">
      <c r="B10" t="s">
        <v>80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81</v>
      </c>
      <c r="C11" s="12">
        <v>44</v>
      </c>
      <c r="D11" s="8">
        <v>20.37</v>
      </c>
      <c r="E11" s="12">
        <v>28</v>
      </c>
      <c r="F11" s="8">
        <v>20</v>
      </c>
      <c r="G11" s="12">
        <v>16</v>
      </c>
      <c r="H11" s="8">
        <v>21.92</v>
      </c>
      <c r="I11" s="12">
        <v>0</v>
      </c>
    </row>
    <row r="12" spans="2:9" ht="15" customHeight="1" x14ac:dyDescent="0.2">
      <c r="B12" t="s">
        <v>82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83</v>
      </c>
      <c r="C13" s="12">
        <v>20</v>
      </c>
      <c r="D13" s="8">
        <v>9.26</v>
      </c>
      <c r="E13" s="12">
        <v>14</v>
      </c>
      <c r="F13" s="8">
        <v>10</v>
      </c>
      <c r="G13" s="12">
        <v>6</v>
      </c>
      <c r="H13" s="8">
        <v>8.2200000000000006</v>
      </c>
      <c r="I13" s="12">
        <v>0</v>
      </c>
    </row>
    <row r="14" spans="2:9" ht="15" customHeight="1" x14ac:dyDescent="0.2">
      <c r="B14" t="s">
        <v>84</v>
      </c>
      <c r="C14" s="12">
        <v>10</v>
      </c>
      <c r="D14" s="8">
        <v>4.63</v>
      </c>
      <c r="E14" s="12">
        <v>5</v>
      </c>
      <c r="F14" s="8">
        <v>3.57</v>
      </c>
      <c r="G14" s="12">
        <v>5</v>
      </c>
      <c r="H14" s="8">
        <v>6.85</v>
      </c>
      <c r="I14" s="12">
        <v>0</v>
      </c>
    </row>
    <row r="15" spans="2:9" ht="15" customHeight="1" x14ac:dyDescent="0.2">
      <c r="B15" t="s">
        <v>85</v>
      </c>
      <c r="C15" s="12">
        <v>29</v>
      </c>
      <c r="D15" s="8">
        <v>13.43</v>
      </c>
      <c r="E15" s="12">
        <v>28</v>
      </c>
      <c r="F15" s="8">
        <v>20</v>
      </c>
      <c r="G15" s="12">
        <v>1</v>
      </c>
      <c r="H15" s="8">
        <v>1.37</v>
      </c>
      <c r="I15" s="12">
        <v>0</v>
      </c>
    </row>
    <row r="16" spans="2:9" ht="15" customHeight="1" x14ac:dyDescent="0.2">
      <c r="B16" t="s">
        <v>86</v>
      </c>
      <c r="C16" s="12">
        <v>37</v>
      </c>
      <c r="D16" s="8">
        <v>17.13</v>
      </c>
      <c r="E16" s="12">
        <v>29</v>
      </c>
      <c r="F16" s="8">
        <v>20.71</v>
      </c>
      <c r="G16" s="12">
        <v>7</v>
      </c>
      <c r="H16" s="8">
        <v>9.59</v>
      </c>
      <c r="I16" s="12">
        <v>0</v>
      </c>
    </row>
    <row r="17" spans="2:9" ht="15" customHeight="1" x14ac:dyDescent="0.2">
      <c r="B17" t="s">
        <v>87</v>
      </c>
      <c r="C17" s="12">
        <v>4</v>
      </c>
      <c r="D17" s="8">
        <v>1.85</v>
      </c>
      <c r="E17" s="12">
        <v>4</v>
      </c>
      <c r="F17" s="8">
        <v>2.86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88</v>
      </c>
      <c r="C18" s="12">
        <v>14</v>
      </c>
      <c r="D18" s="8">
        <v>6.48</v>
      </c>
      <c r="E18" s="12">
        <v>6</v>
      </c>
      <c r="F18" s="8">
        <v>4.29</v>
      </c>
      <c r="G18" s="12">
        <v>7</v>
      </c>
      <c r="H18" s="8">
        <v>9.59</v>
      </c>
      <c r="I18" s="12">
        <v>0</v>
      </c>
    </row>
    <row r="19" spans="2:9" ht="15" customHeight="1" x14ac:dyDescent="0.2">
      <c r="B19" t="s">
        <v>89</v>
      </c>
      <c r="C19" s="12">
        <v>8</v>
      </c>
      <c r="D19" s="8">
        <v>3.7</v>
      </c>
      <c r="E19" s="12">
        <v>5</v>
      </c>
      <c r="F19" s="8">
        <v>3.57</v>
      </c>
      <c r="G19" s="12">
        <v>2</v>
      </c>
      <c r="H19" s="8">
        <v>2.74</v>
      </c>
      <c r="I19" s="12">
        <v>0</v>
      </c>
    </row>
    <row r="20" spans="2:9" ht="15" customHeight="1" x14ac:dyDescent="0.2">
      <c r="B20" s="9" t="s">
        <v>285</v>
      </c>
      <c r="C20" s="12">
        <f>SUM(LTBL_40421[総数／事業所数])</f>
        <v>216</v>
      </c>
      <c r="E20" s="12">
        <f>SUBTOTAL(109,LTBL_40421[個人／事業所数])</f>
        <v>140</v>
      </c>
      <c r="G20" s="12">
        <f>SUBTOTAL(109,LTBL_40421[法人／事業所数])</f>
        <v>73</v>
      </c>
      <c r="I20" s="12">
        <f>SUBTOTAL(109,LTBL_40421[法人以外の団体／事業所数])</f>
        <v>0</v>
      </c>
    </row>
    <row r="21" spans="2:9" ht="15" customHeight="1" x14ac:dyDescent="0.2">
      <c r="E21" s="11">
        <f>LTBL_40421[[#Totals],[個人／事業所数]]/LTBL_40421[[#Totals],[総数／事業所数]]</f>
        <v>0.64814814814814814</v>
      </c>
      <c r="G21" s="11">
        <f>LTBL_40421[[#Totals],[法人／事業所数]]/LTBL_40421[[#Totals],[総数／事業所数]]</f>
        <v>0.33796296296296297</v>
      </c>
      <c r="I21" s="11">
        <f>LTBL_40421[[#Totals],[法人以外の団体／事業所数]]/LTBL_40421[[#Totals],[総数／事業所数]]</f>
        <v>0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31</v>
      </c>
      <c r="D24" s="8">
        <v>14.35</v>
      </c>
      <c r="E24" s="12">
        <v>28</v>
      </c>
      <c r="F24" s="8">
        <v>20</v>
      </c>
      <c r="G24" s="12">
        <v>3</v>
      </c>
      <c r="H24" s="8">
        <v>4.1100000000000003</v>
      </c>
      <c r="I24" s="12">
        <v>0</v>
      </c>
    </row>
    <row r="25" spans="2:9" ht="15" customHeight="1" x14ac:dyDescent="0.2">
      <c r="B25" t="s">
        <v>112</v>
      </c>
      <c r="C25" s="12">
        <v>27</v>
      </c>
      <c r="D25" s="8">
        <v>12.5</v>
      </c>
      <c r="E25" s="12">
        <v>26</v>
      </c>
      <c r="F25" s="8">
        <v>18.57</v>
      </c>
      <c r="G25" s="12">
        <v>1</v>
      </c>
      <c r="H25" s="8">
        <v>1.37</v>
      </c>
      <c r="I25" s="12">
        <v>0</v>
      </c>
    </row>
    <row r="26" spans="2:9" ht="15" customHeight="1" x14ac:dyDescent="0.2">
      <c r="B26" t="s">
        <v>98</v>
      </c>
      <c r="C26" s="12">
        <v>20</v>
      </c>
      <c r="D26" s="8">
        <v>9.26</v>
      </c>
      <c r="E26" s="12">
        <v>7</v>
      </c>
      <c r="F26" s="8">
        <v>5</v>
      </c>
      <c r="G26" s="12">
        <v>13</v>
      </c>
      <c r="H26" s="8">
        <v>17.809999999999999</v>
      </c>
      <c r="I26" s="12">
        <v>0</v>
      </c>
    </row>
    <row r="27" spans="2:9" ht="15" customHeight="1" x14ac:dyDescent="0.2">
      <c r="B27" t="s">
        <v>109</v>
      </c>
      <c r="C27" s="12">
        <v>18</v>
      </c>
      <c r="D27" s="8">
        <v>8.33</v>
      </c>
      <c r="E27" s="12">
        <v>14</v>
      </c>
      <c r="F27" s="8">
        <v>10</v>
      </c>
      <c r="G27" s="12">
        <v>4</v>
      </c>
      <c r="H27" s="8">
        <v>5.48</v>
      </c>
      <c r="I27" s="12">
        <v>0</v>
      </c>
    </row>
    <row r="28" spans="2:9" ht="15" customHeight="1" x14ac:dyDescent="0.2">
      <c r="B28" t="s">
        <v>107</v>
      </c>
      <c r="C28" s="12">
        <v>13</v>
      </c>
      <c r="D28" s="8">
        <v>6.02</v>
      </c>
      <c r="E28" s="12">
        <v>7</v>
      </c>
      <c r="F28" s="8">
        <v>5</v>
      </c>
      <c r="G28" s="12">
        <v>6</v>
      </c>
      <c r="H28" s="8">
        <v>8.2200000000000006</v>
      </c>
      <c r="I28" s="12">
        <v>0</v>
      </c>
    </row>
    <row r="29" spans="2:9" ht="15" customHeight="1" x14ac:dyDescent="0.2">
      <c r="B29" t="s">
        <v>105</v>
      </c>
      <c r="C29" s="12">
        <v>11</v>
      </c>
      <c r="D29" s="8">
        <v>5.09</v>
      </c>
      <c r="E29" s="12">
        <v>9</v>
      </c>
      <c r="F29" s="8">
        <v>6.43</v>
      </c>
      <c r="G29" s="12">
        <v>2</v>
      </c>
      <c r="H29" s="8">
        <v>2.74</v>
      </c>
      <c r="I29" s="12">
        <v>0</v>
      </c>
    </row>
    <row r="30" spans="2:9" ht="15" customHeight="1" x14ac:dyDescent="0.2">
      <c r="B30" t="s">
        <v>106</v>
      </c>
      <c r="C30" s="12">
        <v>9</v>
      </c>
      <c r="D30" s="8">
        <v>4.17</v>
      </c>
      <c r="E30" s="12">
        <v>9</v>
      </c>
      <c r="F30" s="8">
        <v>6.43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100</v>
      </c>
      <c r="C31" s="12">
        <v>8</v>
      </c>
      <c r="D31" s="8">
        <v>3.7</v>
      </c>
      <c r="E31" s="12">
        <v>4</v>
      </c>
      <c r="F31" s="8">
        <v>2.86</v>
      </c>
      <c r="G31" s="12">
        <v>4</v>
      </c>
      <c r="H31" s="8">
        <v>5.48</v>
      </c>
      <c r="I31" s="12">
        <v>0</v>
      </c>
    </row>
    <row r="32" spans="2:9" ht="15" customHeight="1" x14ac:dyDescent="0.2">
      <c r="B32" t="s">
        <v>116</v>
      </c>
      <c r="C32" s="12">
        <v>8</v>
      </c>
      <c r="D32" s="8">
        <v>3.7</v>
      </c>
      <c r="E32" s="12">
        <v>0</v>
      </c>
      <c r="F32" s="8">
        <v>0</v>
      </c>
      <c r="G32" s="12">
        <v>7</v>
      </c>
      <c r="H32" s="8">
        <v>9.59</v>
      </c>
      <c r="I32" s="12">
        <v>0</v>
      </c>
    </row>
    <row r="33" spans="2:9" ht="15" customHeight="1" x14ac:dyDescent="0.2">
      <c r="B33" t="s">
        <v>99</v>
      </c>
      <c r="C33" s="12">
        <v>7</v>
      </c>
      <c r="D33" s="8">
        <v>3.24</v>
      </c>
      <c r="E33" s="12">
        <v>5</v>
      </c>
      <c r="F33" s="8">
        <v>3.57</v>
      </c>
      <c r="G33" s="12">
        <v>2</v>
      </c>
      <c r="H33" s="8">
        <v>2.74</v>
      </c>
      <c r="I33" s="12">
        <v>0</v>
      </c>
    </row>
    <row r="34" spans="2:9" ht="15" customHeight="1" x14ac:dyDescent="0.2">
      <c r="B34" t="s">
        <v>111</v>
      </c>
      <c r="C34" s="12">
        <v>7</v>
      </c>
      <c r="D34" s="8">
        <v>3.24</v>
      </c>
      <c r="E34" s="12">
        <v>3</v>
      </c>
      <c r="F34" s="8">
        <v>2.14</v>
      </c>
      <c r="G34" s="12">
        <v>4</v>
      </c>
      <c r="H34" s="8">
        <v>5.48</v>
      </c>
      <c r="I34" s="12">
        <v>0</v>
      </c>
    </row>
    <row r="35" spans="2:9" ht="15" customHeight="1" x14ac:dyDescent="0.2">
      <c r="B35" t="s">
        <v>115</v>
      </c>
      <c r="C35" s="12">
        <v>6</v>
      </c>
      <c r="D35" s="8">
        <v>2.78</v>
      </c>
      <c r="E35" s="12">
        <v>6</v>
      </c>
      <c r="F35" s="8">
        <v>4.29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123</v>
      </c>
      <c r="C36" s="12">
        <v>5</v>
      </c>
      <c r="D36" s="8">
        <v>2.31</v>
      </c>
      <c r="E36" s="12">
        <v>4</v>
      </c>
      <c r="F36" s="8">
        <v>2.86</v>
      </c>
      <c r="G36" s="12">
        <v>1</v>
      </c>
      <c r="H36" s="8">
        <v>1.37</v>
      </c>
      <c r="I36" s="12">
        <v>0</v>
      </c>
    </row>
    <row r="37" spans="2:9" ht="15" customHeight="1" x14ac:dyDescent="0.2">
      <c r="B37" t="s">
        <v>118</v>
      </c>
      <c r="C37" s="12">
        <v>4</v>
      </c>
      <c r="D37" s="8">
        <v>1.85</v>
      </c>
      <c r="E37" s="12">
        <v>1</v>
      </c>
      <c r="F37" s="8">
        <v>0.71</v>
      </c>
      <c r="G37" s="12">
        <v>3</v>
      </c>
      <c r="H37" s="8">
        <v>4.1100000000000003</v>
      </c>
      <c r="I37" s="12">
        <v>0</v>
      </c>
    </row>
    <row r="38" spans="2:9" ht="15" customHeight="1" x14ac:dyDescent="0.2">
      <c r="B38" t="s">
        <v>114</v>
      </c>
      <c r="C38" s="12">
        <v>4</v>
      </c>
      <c r="D38" s="8">
        <v>1.85</v>
      </c>
      <c r="E38" s="12">
        <v>4</v>
      </c>
      <c r="F38" s="8">
        <v>2.86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146</v>
      </c>
      <c r="C39" s="12">
        <v>3</v>
      </c>
      <c r="D39" s="8">
        <v>1.39</v>
      </c>
      <c r="E39" s="12">
        <v>0</v>
      </c>
      <c r="F39" s="8">
        <v>0</v>
      </c>
      <c r="G39" s="12">
        <v>3</v>
      </c>
      <c r="H39" s="8">
        <v>4.1100000000000003</v>
      </c>
      <c r="I39" s="12">
        <v>0</v>
      </c>
    </row>
    <row r="40" spans="2:9" ht="15" customHeight="1" x14ac:dyDescent="0.2">
      <c r="B40" t="s">
        <v>103</v>
      </c>
      <c r="C40" s="12">
        <v>3</v>
      </c>
      <c r="D40" s="8">
        <v>1.39</v>
      </c>
      <c r="E40" s="12">
        <v>1</v>
      </c>
      <c r="F40" s="8">
        <v>0.71</v>
      </c>
      <c r="G40" s="12">
        <v>2</v>
      </c>
      <c r="H40" s="8">
        <v>2.74</v>
      </c>
      <c r="I40" s="12">
        <v>0</v>
      </c>
    </row>
    <row r="41" spans="2:9" ht="15" customHeight="1" x14ac:dyDescent="0.2">
      <c r="B41" t="s">
        <v>130</v>
      </c>
      <c r="C41" s="12">
        <v>2</v>
      </c>
      <c r="D41" s="8">
        <v>0.93</v>
      </c>
      <c r="E41" s="12">
        <v>1</v>
      </c>
      <c r="F41" s="8">
        <v>0.71</v>
      </c>
      <c r="G41" s="12">
        <v>1</v>
      </c>
      <c r="H41" s="8">
        <v>1.37</v>
      </c>
      <c r="I41" s="12">
        <v>0</v>
      </c>
    </row>
    <row r="42" spans="2:9" ht="15" customHeight="1" x14ac:dyDescent="0.2">
      <c r="B42" t="s">
        <v>136</v>
      </c>
      <c r="C42" s="12">
        <v>2</v>
      </c>
      <c r="D42" s="8">
        <v>0.93</v>
      </c>
      <c r="E42" s="12">
        <v>1</v>
      </c>
      <c r="F42" s="8">
        <v>0.71</v>
      </c>
      <c r="G42" s="12">
        <v>1</v>
      </c>
      <c r="H42" s="8">
        <v>1.37</v>
      </c>
      <c r="I42" s="12">
        <v>0</v>
      </c>
    </row>
    <row r="43" spans="2:9" ht="15" customHeight="1" x14ac:dyDescent="0.2">
      <c r="B43" t="s">
        <v>119</v>
      </c>
      <c r="C43" s="12">
        <v>2</v>
      </c>
      <c r="D43" s="8">
        <v>0.93</v>
      </c>
      <c r="E43" s="12">
        <v>0</v>
      </c>
      <c r="F43" s="8">
        <v>0</v>
      </c>
      <c r="G43" s="12">
        <v>2</v>
      </c>
      <c r="H43" s="8">
        <v>2.74</v>
      </c>
      <c r="I43" s="12">
        <v>0</v>
      </c>
    </row>
    <row r="44" spans="2:9" ht="15" customHeight="1" x14ac:dyDescent="0.2">
      <c r="B44" t="s">
        <v>128</v>
      </c>
      <c r="C44" s="12">
        <v>2</v>
      </c>
      <c r="D44" s="8">
        <v>0.93</v>
      </c>
      <c r="E44" s="12">
        <v>1</v>
      </c>
      <c r="F44" s="8">
        <v>0.71</v>
      </c>
      <c r="G44" s="12">
        <v>1</v>
      </c>
      <c r="H44" s="8">
        <v>1.37</v>
      </c>
      <c r="I44" s="12">
        <v>0</v>
      </c>
    </row>
    <row r="45" spans="2:9" ht="15" customHeight="1" x14ac:dyDescent="0.2">
      <c r="B45" t="s">
        <v>101</v>
      </c>
      <c r="C45" s="12">
        <v>2</v>
      </c>
      <c r="D45" s="8">
        <v>0.93</v>
      </c>
      <c r="E45" s="12">
        <v>0</v>
      </c>
      <c r="F45" s="8">
        <v>0</v>
      </c>
      <c r="G45" s="12">
        <v>2</v>
      </c>
      <c r="H45" s="8">
        <v>2.74</v>
      </c>
      <c r="I45" s="12">
        <v>0</v>
      </c>
    </row>
    <row r="46" spans="2:9" ht="15" customHeight="1" x14ac:dyDescent="0.2">
      <c r="B46" t="s">
        <v>104</v>
      </c>
      <c r="C46" s="12">
        <v>2</v>
      </c>
      <c r="D46" s="8">
        <v>0.93</v>
      </c>
      <c r="E46" s="12">
        <v>2</v>
      </c>
      <c r="F46" s="8">
        <v>1.43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126</v>
      </c>
      <c r="C47" s="12">
        <v>2</v>
      </c>
      <c r="D47" s="8">
        <v>0.93</v>
      </c>
      <c r="E47" s="12">
        <v>0</v>
      </c>
      <c r="F47" s="8">
        <v>0</v>
      </c>
      <c r="G47" s="12">
        <v>2</v>
      </c>
      <c r="H47" s="8">
        <v>2.74</v>
      </c>
      <c r="I47" s="12">
        <v>0</v>
      </c>
    </row>
    <row r="48" spans="2:9" ht="15" customHeight="1" x14ac:dyDescent="0.2">
      <c r="B48" t="s">
        <v>110</v>
      </c>
      <c r="C48" s="12">
        <v>2</v>
      </c>
      <c r="D48" s="8">
        <v>0.93</v>
      </c>
      <c r="E48" s="12">
        <v>2</v>
      </c>
      <c r="F48" s="8">
        <v>1.43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121</v>
      </c>
      <c r="C49" s="12">
        <v>2</v>
      </c>
      <c r="D49" s="8">
        <v>0.93</v>
      </c>
      <c r="E49" s="12">
        <v>2</v>
      </c>
      <c r="F49" s="8">
        <v>1.43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127</v>
      </c>
      <c r="C50" s="12">
        <v>2</v>
      </c>
      <c r="D50" s="8">
        <v>0.93</v>
      </c>
      <c r="E50" s="12">
        <v>0</v>
      </c>
      <c r="F50" s="8">
        <v>0</v>
      </c>
      <c r="G50" s="12">
        <v>1</v>
      </c>
      <c r="H50" s="8">
        <v>1.37</v>
      </c>
      <c r="I50" s="12">
        <v>0</v>
      </c>
    </row>
    <row r="51" spans="2:9" ht="15" customHeight="1" x14ac:dyDescent="0.2">
      <c r="B51" t="s">
        <v>147</v>
      </c>
      <c r="C51" s="12">
        <v>2</v>
      </c>
      <c r="D51" s="8">
        <v>0.93</v>
      </c>
      <c r="E51" s="12">
        <v>0</v>
      </c>
      <c r="F51" s="8">
        <v>0</v>
      </c>
      <c r="G51" s="12">
        <v>1</v>
      </c>
      <c r="H51" s="8">
        <v>1.37</v>
      </c>
      <c r="I51" s="12">
        <v>0</v>
      </c>
    </row>
    <row r="54" spans="2:9" ht="33" customHeight="1" x14ac:dyDescent="0.2">
      <c r="B54" t="s">
        <v>287</v>
      </c>
      <c r="C54" s="10" t="s">
        <v>91</v>
      </c>
      <c r="D54" s="10" t="s">
        <v>92</v>
      </c>
      <c r="E54" s="10" t="s">
        <v>93</v>
      </c>
      <c r="F54" s="10" t="s">
        <v>94</v>
      </c>
      <c r="G54" s="10" t="s">
        <v>95</v>
      </c>
      <c r="H54" s="10" t="s">
        <v>96</v>
      </c>
      <c r="I54" s="10" t="s">
        <v>97</v>
      </c>
    </row>
    <row r="55" spans="2:9" ht="15" customHeight="1" x14ac:dyDescent="0.2">
      <c r="B55" t="s">
        <v>170</v>
      </c>
      <c r="C55" s="12">
        <v>17</v>
      </c>
      <c r="D55" s="8">
        <v>7.87</v>
      </c>
      <c r="E55" s="12">
        <v>17</v>
      </c>
      <c r="F55" s="8">
        <v>12.14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166</v>
      </c>
      <c r="C56" s="12">
        <v>11</v>
      </c>
      <c r="D56" s="8">
        <v>5.09</v>
      </c>
      <c r="E56" s="12">
        <v>10</v>
      </c>
      <c r="F56" s="8">
        <v>7.14</v>
      </c>
      <c r="G56" s="12">
        <v>1</v>
      </c>
      <c r="H56" s="8">
        <v>1.37</v>
      </c>
      <c r="I56" s="12">
        <v>0</v>
      </c>
    </row>
    <row r="57" spans="2:9" ht="15" customHeight="1" x14ac:dyDescent="0.2">
      <c r="B57" t="s">
        <v>154</v>
      </c>
      <c r="C57" s="12">
        <v>10</v>
      </c>
      <c r="D57" s="8">
        <v>4.63</v>
      </c>
      <c r="E57" s="12">
        <v>0</v>
      </c>
      <c r="F57" s="8">
        <v>0</v>
      </c>
      <c r="G57" s="12">
        <v>10</v>
      </c>
      <c r="H57" s="8">
        <v>13.7</v>
      </c>
      <c r="I57" s="12">
        <v>0</v>
      </c>
    </row>
    <row r="58" spans="2:9" ht="15" customHeight="1" x14ac:dyDescent="0.2">
      <c r="B58" t="s">
        <v>175</v>
      </c>
      <c r="C58" s="12">
        <v>9</v>
      </c>
      <c r="D58" s="8">
        <v>4.17</v>
      </c>
      <c r="E58" s="12">
        <v>9</v>
      </c>
      <c r="F58" s="8">
        <v>6.43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186</v>
      </c>
      <c r="C59" s="12">
        <v>8</v>
      </c>
      <c r="D59" s="8">
        <v>3.7</v>
      </c>
      <c r="E59" s="12">
        <v>6</v>
      </c>
      <c r="F59" s="8">
        <v>4.29</v>
      </c>
      <c r="G59" s="12">
        <v>2</v>
      </c>
      <c r="H59" s="8">
        <v>2.74</v>
      </c>
      <c r="I59" s="12">
        <v>0</v>
      </c>
    </row>
    <row r="60" spans="2:9" ht="15" customHeight="1" x14ac:dyDescent="0.2">
      <c r="B60" t="s">
        <v>164</v>
      </c>
      <c r="C60" s="12">
        <v>8</v>
      </c>
      <c r="D60" s="8">
        <v>3.7</v>
      </c>
      <c r="E60" s="12">
        <v>5</v>
      </c>
      <c r="F60" s="8">
        <v>3.57</v>
      </c>
      <c r="G60" s="12">
        <v>3</v>
      </c>
      <c r="H60" s="8">
        <v>4.1100000000000003</v>
      </c>
      <c r="I60" s="12">
        <v>0</v>
      </c>
    </row>
    <row r="61" spans="2:9" ht="15" customHeight="1" x14ac:dyDescent="0.2">
      <c r="B61" t="s">
        <v>159</v>
      </c>
      <c r="C61" s="12">
        <v>6</v>
      </c>
      <c r="D61" s="8">
        <v>2.78</v>
      </c>
      <c r="E61" s="12">
        <v>6</v>
      </c>
      <c r="F61" s="8">
        <v>4.29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165</v>
      </c>
      <c r="C62" s="12">
        <v>6</v>
      </c>
      <c r="D62" s="8">
        <v>2.78</v>
      </c>
      <c r="E62" s="12">
        <v>2</v>
      </c>
      <c r="F62" s="8">
        <v>1.43</v>
      </c>
      <c r="G62" s="12">
        <v>4</v>
      </c>
      <c r="H62" s="8">
        <v>5.48</v>
      </c>
      <c r="I62" s="12">
        <v>0</v>
      </c>
    </row>
    <row r="63" spans="2:9" ht="15" customHeight="1" x14ac:dyDescent="0.2">
      <c r="B63" t="s">
        <v>156</v>
      </c>
      <c r="C63" s="12">
        <v>5</v>
      </c>
      <c r="D63" s="8">
        <v>2.31</v>
      </c>
      <c r="E63" s="12">
        <v>2</v>
      </c>
      <c r="F63" s="8">
        <v>1.43</v>
      </c>
      <c r="G63" s="12">
        <v>3</v>
      </c>
      <c r="H63" s="8">
        <v>4.1100000000000003</v>
      </c>
      <c r="I63" s="12">
        <v>0</v>
      </c>
    </row>
    <row r="64" spans="2:9" ht="15" customHeight="1" x14ac:dyDescent="0.2">
      <c r="B64" t="s">
        <v>167</v>
      </c>
      <c r="C64" s="12">
        <v>5</v>
      </c>
      <c r="D64" s="8">
        <v>2.31</v>
      </c>
      <c r="E64" s="12">
        <v>5</v>
      </c>
      <c r="F64" s="8">
        <v>3.57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182</v>
      </c>
      <c r="C65" s="12">
        <v>5</v>
      </c>
      <c r="D65" s="8">
        <v>2.31</v>
      </c>
      <c r="E65" s="12">
        <v>3</v>
      </c>
      <c r="F65" s="8">
        <v>2.14</v>
      </c>
      <c r="G65" s="12">
        <v>2</v>
      </c>
      <c r="H65" s="8">
        <v>2.74</v>
      </c>
      <c r="I65" s="12">
        <v>0</v>
      </c>
    </row>
    <row r="66" spans="2:9" ht="15" customHeight="1" x14ac:dyDescent="0.2">
      <c r="B66" t="s">
        <v>169</v>
      </c>
      <c r="C66" s="12">
        <v>5</v>
      </c>
      <c r="D66" s="8">
        <v>2.31</v>
      </c>
      <c r="E66" s="12">
        <v>5</v>
      </c>
      <c r="F66" s="8">
        <v>3.57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172</v>
      </c>
      <c r="C67" s="12">
        <v>5</v>
      </c>
      <c r="D67" s="8">
        <v>2.31</v>
      </c>
      <c r="E67" s="12">
        <v>5</v>
      </c>
      <c r="F67" s="8">
        <v>3.57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173</v>
      </c>
      <c r="C68" s="12">
        <v>5</v>
      </c>
      <c r="D68" s="8">
        <v>2.31</v>
      </c>
      <c r="E68" s="12">
        <v>4</v>
      </c>
      <c r="F68" s="8">
        <v>2.86</v>
      </c>
      <c r="G68" s="12">
        <v>1</v>
      </c>
      <c r="H68" s="8">
        <v>1.37</v>
      </c>
      <c r="I68" s="12">
        <v>0</v>
      </c>
    </row>
    <row r="69" spans="2:9" ht="15" customHeight="1" x14ac:dyDescent="0.2">
      <c r="B69" t="s">
        <v>177</v>
      </c>
      <c r="C69" s="12">
        <v>4</v>
      </c>
      <c r="D69" s="8">
        <v>1.85</v>
      </c>
      <c r="E69" s="12">
        <v>3</v>
      </c>
      <c r="F69" s="8">
        <v>2.14</v>
      </c>
      <c r="G69" s="12">
        <v>1</v>
      </c>
      <c r="H69" s="8">
        <v>1.37</v>
      </c>
      <c r="I69" s="12">
        <v>0</v>
      </c>
    </row>
    <row r="70" spans="2:9" ht="15" customHeight="1" x14ac:dyDescent="0.2">
      <c r="B70" t="s">
        <v>204</v>
      </c>
      <c r="C70" s="12">
        <v>4</v>
      </c>
      <c r="D70" s="8">
        <v>1.85</v>
      </c>
      <c r="E70" s="12">
        <v>0</v>
      </c>
      <c r="F70" s="8">
        <v>0</v>
      </c>
      <c r="G70" s="12">
        <v>4</v>
      </c>
      <c r="H70" s="8">
        <v>5.48</v>
      </c>
      <c r="I70" s="12">
        <v>0</v>
      </c>
    </row>
    <row r="71" spans="2:9" ht="15" customHeight="1" x14ac:dyDescent="0.2">
      <c r="B71" t="s">
        <v>255</v>
      </c>
      <c r="C71" s="12">
        <v>3</v>
      </c>
      <c r="D71" s="8">
        <v>1.39</v>
      </c>
      <c r="E71" s="12">
        <v>3</v>
      </c>
      <c r="F71" s="8">
        <v>2.14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174</v>
      </c>
      <c r="C72" s="12">
        <v>3</v>
      </c>
      <c r="D72" s="8">
        <v>1.39</v>
      </c>
      <c r="E72" s="12">
        <v>2</v>
      </c>
      <c r="F72" s="8">
        <v>1.43</v>
      </c>
      <c r="G72" s="12">
        <v>1</v>
      </c>
      <c r="H72" s="8">
        <v>1.37</v>
      </c>
      <c r="I72" s="12">
        <v>0</v>
      </c>
    </row>
    <row r="73" spans="2:9" ht="15" customHeight="1" x14ac:dyDescent="0.2">
      <c r="B73" t="s">
        <v>256</v>
      </c>
      <c r="C73" s="12">
        <v>3</v>
      </c>
      <c r="D73" s="8">
        <v>1.39</v>
      </c>
      <c r="E73" s="12">
        <v>0</v>
      </c>
      <c r="F73" s="8">
        <v>0</v>
      </c>
      <c r="G73" s="12">
        <v>3</v>
      </c>
      <c r="H73" s="8">
        <v>4.1100000000000003</v>
      </c>
      <c r="I73" s="12">
        <v>0</v>
      </c>
    </row>
    <row r="74" spans="2:9" ht="15" customHeight="1" x14ac:dyDescent="0.2">
      <c r="B74" t="s">
        <v>257</v>
      </c>
      <c r="C74" s="12">
        <v>3</v>
      </c>
      <c r="D74" s="8">
        <v>1.39</v>
      </c>
      <c r="E74" s="12">
        <v>3</v>
      </c>
      <c r="F74" s="8">
        <v>2.14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158</v>
      </c>
      <c r="C75" s="12">
        <v>3</v>
      </c>
      <c r="D75" s="8">
        <v>1.39</v>
      </c>
      <c r="E75" s="12">
        <v>2</v>
      </c>
      <c r="F75" s="8">
        <v>1.43</v>
      </c>
      <c r="G75" s="12">
        <v>1</v>
      </c>
      <c r="H75" s="8">
        <v>1.37</v>
      </c>
      <c r="I75" s="12">
        <v>0</v>
      </c>
    </row>
    <row r="76" spans="2:9" ht="15" customHeight="1" x14ac:dyDescent="0.2">
      <c r="B76" t="s">
        <v>160</v>
      </c>
      <c r="C76" s="12">
        <v>3</v>
      </c>
      <c r="D76" s="8">
        <v>1.39</v>
      </c>
      <c r="E76" s="12">
        <v>1</v>
      </c>
      <c r="F76" s="8">
        <v>0.71</v>
      </c>
      <c r="G76" s="12">
        <v>2</v>
      </c>
      <c r="H76" s="8">
        <v>2.74</v>
      </c>
      <c r="I76" s="12">
        <v>0</v>
      </c>
    </row>
    <row r="77" spans="2:9" ht="15" customHeight="1" x14ac:dyDescent="0.2">
      <c r="B77" t="s">
        <v>205</v>
      </c>
      <c r="C77" s="12">
        <v>3</v>
      </c>
      <c r="D77" s="8">
        <v>1.39</v>
      </c>
      <c r="E77" s="12">
        <v>2</v>
      </c>
      <c r="F77" s="8">
        <v>1.43</v>
      </c>
      <c r="G77" s="12">
        <v>1</v>
      </c>
      <c r="H77" s="8">
        <v>1.37</v>
      </c>
      <c r="I77" s="12">
        <v>0</v>
      </c>
    </row>
    <row r="78" spans="2:9" ht="15" customHeight="1" x14ac:dyDescent="0.2">
      <c r="B78" t="s">
        <v>179</v>
      </c>
      <c r="C78" s="12">
        <v>3</v>
      </c>
      <c r="D78" s="8">
        <v>1.39</v>
      </c>
      <c r="E78" s="12">
        <v>3</v>
      </c>
      <c r="F78" s="8">
        <v>2.14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201</v>
      </c>
      <c r="C79" s="12">
        <v>3</v>
      </c>
      <c r="D79" s="8">
        <v>1.39</v>
      </c>
      <c r="E79" s="12">
        <v>3</v>
      </c>
      <c r="F79" s="8">
        <v>2.14</v>
      </c>
      <c r="G79" s="12">
        <v>0</v>
      </c>
      <c r="H79" s="8">
        <v>0</v>
      </c>
      <c r="I79" s="12">
        <v>0</v>
      </c>
    </row>
    <row r="81" spans="2:2" ht="15" customHeight="1" x14ac:dyDescent="0.2">
      <c r="B81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FE9FF-E961-45FE-88F0-5090DD9EED85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346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114</v>
      </c>
      <c r="D6" s="8">
        <v>23.95</v>
      </c>
      <c r="E6" s="12">
        <v>52</v>
      </c>
      <c r="F6" s="8">
        <v>19.77</v>
      </c>
      <c r="G6" s="12">
        <v>62</v>
      </c>
      <c r="H6" s="8">
        <v>29.81</v>
      </c>
      <c r="I6" s="12">
        <v>0</v>
      </c>
    </row>
    <row r="7" spans="2:9" ht="15" customHeight="1" x14ac:dyDescent="0.2">
      <c r="B7" t="s">
        <v>77</v>
      </c>
      <c r="C7" s="12">
        <v>49</v>
      </c>
      <c r="D7" s="8">
        <v>10.29</v>
      </c>
      <c r="E7" s="12">
        <v>19</v>
      </c>
      <c r="F7" s="8">
        <v>7.22</v>
      </c>
      <c r="G7" s="12">
        <v>30</v>
      </c>
      <c r="H7" s="8">
        <v>14.42</v>
      </c>
      <c r="I7" s="12">
        <v>0</v>
      </c>
    </row>
    <row r="8" spans="2:9" ht="15" customHeight="1" x14ac:dyDescent="0.2">
      <c r="B8" t="s">
        <v>78</v>
      </c>
      <c r="C8" s="12">
        <v>2</v>
      </c>
      <c r="D8" s="8">
        <v>0.42</v>
      </c>
      <c r="E8" s="12">
        <v>0</v>
      </c>
      <c r="F8" s="8">
        <v>0</v>
      </c>
      <c r="G8" s="12">
        <v>2</v>
      </c>
      <c r="H8" s="8">
        <v>0.96</v>
      </c>
      <c r="I8" s="12">
        <v>0</v>
      </c>
    </row>
    <row r="9" spans="2:9" ht="15" customHeight="1" x14ac:dyDescent="0.2">
      <c r="B9" t="s">
        <v>79</v>
      </c>
      <c r="C9" s="12">
        <v>2</v>
      </c>
      <c r="D9" s="8">
        <v>0.42</v>
      </c>
      <c r="E9" s="12">
        <v>0</v>
      </c>
      <c r="F9" s="8">
        <v>0</v>
      </c>
      <c r="G9" s="12">
        <v>2</v>
      </c>
      <c r="H9" s="8">
        <v>0.96</v>
      </c>
      <c r="I9" s="12">
        <v>0</v>
      </c>
    </row>
    <row r="10" spans="2:9" ht="15" customHeight="1" x14ac:dyDescent="0.2">
      <c r="B10" t="s">
        <v>80</v>
      </c>
      <c r="C10" s="12">
        <v>4</v>
      </c>
      <c r="D10" s="8">
        <v>0.84</v>
      </c>
      <c r="E10" s="12">
        <v>0</v>
      </c>
      <c r="F10" s="8">
        <v>0</v>
      </c>
      <c r="G10" s="12">
        <v>4</v>
      </c>
      <c r="H10" s="8">
        <v>1.92</v>
      </c>
      <c r="I10" s="12">
        <v>0</v>
      </c>
    </row>
    <row r="11" spans="2:9" ht="15" customHeight="1" x14ac:dyDescent="0.2">
      <c r="B11" t="s">
        <v>81</v>
      </c>
      <c r="C11" s="12">
        <v>124</v>
      </c>
      <c r="D11" s="8">
        <v>26.05</v>
      </c>
      <c r="E11" s="12">
        <v>70</v>
      </c>
      <c r="F11" s="8">
        <v>26.62</v>
      </c>
      <c r="G11" s="12">
        <v>54</v>
      </c>
      <c r="H11" s="8">
        <v>25.96</v>
      </c>
      <c r="I11" s="12">
        <v>0</v>
      </c>
    </row>
    <row r="12" spans="2:9" ht="15" customHeight="1" x14ac:dyDescent="0.2">
      <c r="B12" t="s">
        <v>82</v>
      </c>
      <c r="C12" s="12">
        <v>1</v>
      </c>
      <c r="D12" s="8">
        <v>0.21</v>
      </c>
      <c r="E12" s="12">
        <v>0</v>
      </c>
      <c r="F12" s="8">
        <v>0</v>
      </c>
      <c r="G12" s="12">
        <v>1</v>
      </c>
      <c r="H12" s="8">
        <v>0.48</v>
      </c>
      <c r="I12" s="12">
        <v>0</v>
      </c>
    </row>
    <row r="13" spans="2:9" ht="15" customHeight="1" x14ac:dyDescent="0.2">
      <c r="B13" t="s">
        <v>83</v>
      </c>
      <c r="C13" s="12">
        <v>23</v>
      </c>
      <c r="D13" s="8">
        <v>4.83</v>
      </c>
      <c r="E13" s="12">
        <v>8</v>
      </c>
      <c r="F13" s="8">
        <v>3.04</v>
      </c>
      <c r="G13" s="12">
        <v>15</v>
      </c>
      <c r="H13" s="8">
        <v>7.21</v>
      </c>
      <c r="I13" s="12">
        <v>0</v>
      </c>
    </row>
    <row r="14" spans="2:9" ht="15" customHeight="1" x14ac:dyDescent="0.2">
      <c r="B14" t="s">
        <v>84</v>
      </c>
      <c r="C14" s="12">
        <v>11</v>
      </c>
      <c r="D14" s="8">
        <v>2.31</v>
      </c>
      <c r="E14" s="12">
        <v>6</v>
      </c>
      <c r="F14" s="8">
        <v>2.2799999999999998</v>
      </c>
      <c r="G14" s="12">
        <v>5</v>
      </c>
      <c r="H14" s="8">
        <v>2.4</v>
      </c>
      <c r="I14" s="12">
        <v>0</v>
      </c>
    </row>
    <row r="15" spans="2:9" ht="15" customHeight="1" x14ac:dyDescent="0.2">
      <c r="B15" t="s">
        <v>85</v>
      </c>
      <c r="C15" s="12">
        <v>38</v>
      </c>
      <c r="D15" s="8">
        <v>7.98</v>
      </c>
      <c r="E15" s="12">
        <v>32</v>
      </c>
      <c r="F15" s="8">
        <v>12.17</v>
      </c>
      <c r="G15" s="12">
        <v>6</v>
      </c>
      <c r="H15" s="8">
        <v>2.88</v>
      </c>
      <c r="I15" s="12">
        <v>0</v>
      </c>
    </row>
    <row r="16" spans="2:9" ht="15" customHeight="1" x14ac:dyDescent="0.2">
      <c r="B16" t="s">
        <v>86</v>
      </c>
      <c r="C16" s="12">
        <v>53</v>
      </c>
      <c r="D16" s="8">
        <v>11.13</v>
      </c>
      <c r="E16" s="12">
        <v>46</v>
      </c>
      <c r="F16" s="8">
        <v>17.489999999999998</v>
      </c>
      <c r="G16" s="12">
        <v>7</v>
      </c>
      <c r="H16" s="8">
        <v>3.37</v>
      </c>
      <c r="I16" s="12">
        <v>0</v>
      </c>
    </row>
    <row r="17" spans="2:9" ht="15" customHeight="1" x14ac:dyDescent="0.2">
      <c r="B17" t="s">
        <v>87</v>
      </c>
      <c r="C17" s="12">
        <v>11</v>
      </c>
      <c r="D17" s="8">
        <v>2.31</v>
      </c>
      <c r="E17" s="12">
        <v>7</v>
      </c>
      <c r="F17" s="8">
        <v>2.66</v>
      </c>
      <c r="G17" s="12">
        <v>2</v>
      </c>
      <c r="H17" s="8">
        <v>0.96</v>
      </c>
      <c r="I17" s="12">
        <v>0</v>
      </c>
    </row>
    <row r="18" spans="2:9" ht="15" customHeight="1" x14ac:dyDescent="0.2">
      <c r="B18" t="s">
        <v>88</v>
      </c>
      <c r="C18" s="12">
        <v>25</v>
      </c>
      <c r="D18" s="8">
        <v>5.25</v>
      </c>
      <c r="E18" s="12">
        <v>14</v>
      </c>
      <c r="F18" s="8">
        <v>5.32</v>
      </c>
      <c r="G18" s="12">
        <v>8</v>
      </c>
      <c r="H18" s="8">
        <v>3.85</v>
      </c>
      <c r="I18" s="12">
        <v>0</v>
      </c>
    </row>
    <row r="19" spans="2:9" ht="15" customHeight="1" x14ac:dyDescent="0.2">
      <c r="B19" t="s">
        <v>89</v>
      </c>
      <c r="C19" s="12">
        <v>19</v>
      </c>
      <c r="D19" s="8">
        <v>3.99</v>
      </c>
      <c r="E19" s="12">
        <v>9</v>
      </c>
      <c r="F19" s="8">
        <v>3.42</v>
      </c>
      <c r="G19" s="12">
        <v>10</v>
      </c>
      <c r="H19" s="8">
        <v>4.8099999999999996</v>
      </c>
      <c r="I19" s="12">
        <v>0</v>
      </c>
    </row>
    <row r="20" spans="2:9" ht="15" customHeight="1" x14ac:dyDescent="0.2">
      <c r="B20" s="9" t="s">
        <v>285</v>
      </c>
      <c r="C20" s="12">
        <f>SUM(LTBL_40447[総数／事業所数])</f>
        <v>476</v>
      </c>
      <c r="E20" s="12">
        <f>SUBTOTAL(109,LTBL_40447[個人／事業所数])</f>
        <v>263</v>
      </c>
      <c r="G20" s="12">
        <f>SUBTOTAL(109,LTBL_40447[法人／事業所数])</f>
        <v>208</v>
      </c>
      <c r="I20" s="12">
        <f>SUBTOTAL(109,LTBL_40447[法人以外の団体／事業所数])</f>
        <v>0</v>
      </c>
    </row>
    <row r="21" spans="2:9" ht="15" customHeight="1" x14ac:dyDescent="0.2">
      <c r="E21" s="11">
        <f>LTBL_40447[[#Totals],[個人／事業所数]]/LTBL_40447[[#Totals],[総数／事業所数]]</f>
        <v>0.55252100840336138</v>
      </c>
      <c r="G21" s="11">
        <f>LTBL_40447[[#Totals],[法人／事業所数]]/LTBL_40447[[#Totals],[総数／事業所数]]</f>
        <v>0.43697478991596639</v>
      </c>
      <c r="I21" s="11">
        <f>LTBL_40447[[#Totals],[法人以外の団体／事業所数]]/LTBL_40447[[#Totals],[総数／事業所数]]</f>
        <v>0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47</v>
      </c>
      <c r="D24" s="8">
        <v>9.8699999999999992</v>
      </c>
      <c r="E24" s="12">
        <v>42</v>
      </c>
      <c r="F24" s="8">
        <v>15.97</v>
      </c>
      <c r="G24" s="12">
        <v>5</v>
      </c>
      <c r="H24" s="8">
        <v>2.4</v>
      </c>
      <c r="I24" s="12">
        <v>0</v>
      </c>
    </row>
    <row r="25" spans="2:9" ht="15" customHeight="1" x14ac:dyDescent="0.2">
      <c r="B25" t="s">
        <v>99</v>
      </c>
      <c r="C25" s="12">
        <v>46</v>
      </c>
      <c r="D25" s="8">
        <v>9.66</v>
      </c>
      <c r="E25" s="12">
        <v>25</v>
      </c>
      <c r="F25" s="8">
        <v>9.51</v>
      </c>
      <c r="G25" s="12">
        <v>21</v>
      </c>
      <c r="H25" s="8">
        <v>10.1</v>
      </c>
      <c r="I25" s="12">
        <v>0</v>
      </c>
    </row>
    <row r="26" spans="2:9" ht="15" customHeight="1" x14ac:dyDescent="0.2">
      <c r="B26" t="s">
        <v>98</v>
      </c>
      <c r="C26" s="12">
        <v>43</v>
      </c>
      <c r="D26" s="8">
        <v>9.0299999999999994</v>
      </c>
      <c r="E26" s="12">
        <v>15</v>
      </c>
      <c r="F26" s="8">
        <v>5.7</v>
      </c>
      <c r="G26" s="12">
        <v>28</v>
      </c>
      <c r="H26" s="8">
        <v>13.46</v>
      </c>
      <c r="I26" s="12">
        <v>0</v>
      </c>
    </row>
    <row r="27" spans="2:9" ht="15" customHeight="1" x14ac:dyDescent="0.2">
      <c r="B27" t="s">
        <v>107</v>
      </c>
      <c r="C27" s="12">
        <v>34</v>
      </c>
      <c r="D27" s="8">
        <v>7.14</v>
      </c>
      <c r="E27" s="12">
        <v>17</v>
      </c>
      <c r="F27" s="8">
        <v>6.46</v>
      </c>
      <c r="G27" s="12">
        <v>17</v>
      </c>
      <c r="H27" s="8">
        <v>8.17</v>
      </c>
      <c r="I27" s="12">
        <v>0</v>
      </c>
    </row>
    <row r="28" spans="2:9" ht="15" customHeight="1" x14ac:dyDescent="0.2">
      <c r="B28" t="s">
        <v>106</v>
      </c>
      <c r="C28" s="12">
        <v>33</v>
      </c>
      <c r="D28" s="8">
        <v>6.93</v>
      </c>
      <c r="E28" s="12">
        <v>27</v>
      </c>
      <c r="F28" s="8">
        <v>10.27</v>
      </c>
      <c r="G28" s="12">
        <v>6</v>
      </c>
      <c r="H28" s="8">
        <v>2.88</v>
      </c>
      <c r="I28" s="12">
        <v>0</v>
      </c>
    </row>
    <row r="29" spans="2:9" ht="15" customHeight="1" x14ac:dyDescent="0.2">
      <c r="B29" t="s">
        <v>112</v>
      </c>
      <c r="C29" s="12">
        <v>30</v>
      </c>
      <c r="D29" s="8">
        <v>6.3</v>
      </c>
      <c r="E29" s="12">
        <v>27</v>
      </c>
      <c r="F29" s="8">
        <v>10.27</v>
      </c>
      <c r="G29" s="12">
        <v>3</v>
      </c>
      <c r="H29" s="8">
        <v>1.44</v>
      </c>
      <c r="I29" s="12">
        <v>0</v>
      </c>
    </row>
    <row r="30" spans="2:9" ht="15" customHeight="1" x14ac:dyDescent="0.2">
      <c r="B30" t="s">
        <v>100</v>
      </c>
      <c r="C30" s="12">
        <v>25</v>
      </c>
      <c r="D30" s="8">
        <v>5.25</v>
      </c>
      <c r="E30" s="12">
        <v>12</v>
      </c>
      <c r="F30" s="8">
        <v>4.5599999999999996</v>
      </c>
      <c r="G30" s="12">
        <v>13</v>
      </c>
      <c r="H30" s="8">
        <v>6.25</v>
      </c>
      <c r="I30" s="12">
        <v>0</v>
      </c>
    </row>
    <row r="31" spans="2:9" ht="15" customHeight="1" x14ac:dyDescent="0.2">
      <c r="B31" t="s">
        <v>105</v>
      </c>
      <c r="C31" s="12">
        <v>25</v>
      </c>
      <c r="D31" s="8">
        <v>5.25</v>
      </c>
      <c r="E31" s="12">
        <v>17</v>
      </c>
      <c r="F31" s="8">
        <v>6.46</v>
      </c>
      <c r="G31" s="12">
        <v>8</v>
      </c>
      <c r="H31" s="8">
        <v>3.85</v>
      </c>
      <c r="I31" s="12">
        <v>0</v>
      </c>
    </row>
    <row r="32" spans="2:9" ht="15" customHeight="1" x14ac:dyDescent="0.2">
      <c r="B32" t="s">
        <v>115</v>
      </c>
      <c r="C32" s="12">
        <v>17</v>
      </c>
      <c r="D32" s="8">
        <v>3.57</v>
      </c>
      <c r="E32" s="12">
        <v>14</v>
      </c>
      <c r="F32" s="8">
        <v>5.32</v>
      </c>
      <c r="G32" s="12">
        <v>3</v>
      </c>
      <c r="H32" s="8">
        <v>1.44</v>
      </c>
      <c r="I32" s="12">
        <v>0</v>
      </c>
    </row>
    <row r="33" spans="2:9" ht="15" customHeight="1" x14ac:dyDescent="0.2">
      <c r="B33" t="s">
        <v>109</v>
      </c>
      <c r="C33" s="12">
        <v>13</v>
      </c>
      <c r="D33" s="8">
        <v>2.73</v>
      </c>
      <c r="E33" s="12">
        <v>3</v>
      </c>
      <c r="F33" s="8">
        <v>1.1399999999999999</v>
      </c>
      <c r="G33" s="12">
        <v>10</v>
      </c>
      <c r="H33" s="8">
        <v>4.8099999999999996</v>
      </c>
      <c r="I33" s="12">
        <v>0</v>
      </c>
    </row>
    <row r="34" spans="2:9" ht="15" customHeight="1" x14ac:dyDescent="0.2">
      <c r="B34" t="s">
        <v>114</v>
      </c>
      <c r="C34" s="12">
        <v>11</v>
      </c>
      <c r="D34" s="8">
        <v>2.31</v>
      </c>
      <c r="E34" s="12">
        <v>7</v>
      </c>
      <c r="F34" s="8">
        <v>2.66</v>
      </c>
      <c r="G34" s="12">
        <v>2</v>
      </c>
      <c r="H34" s="8">
        <v>0.96</v>
      </c>
      <c r="I34" s="12">
        <v>0</v>
      </c>
    </row>
    <row r="35" spans="2:9" ht="15" customHeight="1" x14ac:dyDescent="0.2">
      <c r="B35" t="s">
        <v>135</v>
      </c>
      <c r="C35" s="12">
        <v>9</v>
      </c>
      <c r="D35" s="8">
        <v>1.89</v>
      </c>
      <c r="E35" s="12">
        <v>7</v>
      </c>
      <c r="F35" s="8">
        <v>2.66</v>
      </c>
      <c r="G35" s="12">
        <v>2</v>
      </c>
      <c r="H35" s="8">
        <v>0.96</v>
      </c>
      <c r="I35" s="12">
        <v>0</v>
      </c>
    </row>
    <row r="36" spans="2:9" ht="15" customHeight="1" x14ac:dyDescent="0.2">
      <c r="B36" t="s">
        <v>101</v>
      </c>
      <c r="C36" s="12">
        <v>9</v>
      </c>
      <c r="D36" s="8">
        <v>1.89</v>
      </c>
      <c r="E36" s="12">
        <v>2</v>
      </c>
      <c r="F36" s="8">
        <v>0.76</v>
      </c>
      <c r="G36" s="12">
        <v>7</v>
      </c>
      <c r="H36" s="8">
        <v>3.37</v>
      </c>
      <c r="I36" s="12">
        <v>0</v>
      </c>
    </row>
    <row r="37" spans="2:9" ht="15" customHeight="1" x14ac:dyDescent="0.2">
      <c r="B37" t="s">
        <v>123</v>
      </c>
      <c r="C37" s="12">
        <v>9</v>
      </c>
      <c r="D37" s="8">
        <v>1.89</v>
      </c>
      <c r="E37" s="12">
        <v>7</v>
      </c>
      <c r="F37" s="8">
        <v>2.66</v>
      </c>
      <c r="G37" s="12">
        <v>2</v>
      </c>
      <c r="H37" s="8">
        <v>0.96</v>
      </c>
      <c r="I37" s="12">
        <v>0</v>
      </c>
    </row>
    <row r="38" spans="2:9" ht="15" customHeight="1" x14ac:dyDescent="0.2">
      <c r="B38" t="s">
        <v>116</v>
      </c>
      <c r="C38" s="12">
        <v>8</v>
      </c>
      <c r="D38" s="8">
        <v>1.68</v>
      </c>
      <c r="E38" s="12">
        <v>0</v>
      </c>
      <c r="F38" s="8">
        <v>0</v>
      </c>
      <c r="G38" s="12">
        <v>5</v>
      </c>
      <c r="H38" s="8">
        <v>2.4</v>
      </c>
      <c r="I38" s="12">
        <v>0</v>
      </c>
    </row>
    <row r="39" spans="2:9" ht="15" customHeight="1" x14ac:dyDescent="0.2">
      <c r="B39" t="s">
        <v>130</v>
      </c>
      <c r="C39" s="12">
        <v>7</v>
      </c>
      <c r="D39" s="8">
        <v>1.47</v>
      </c>
      <c r="E39" s="12">
        <v>4</v>
      </c>
      <c r="F39" s="8">
        <v>1.52</v>
      </c>
      <c r="G39" s="12">
        <v>3</v>
      </c>
      <c r="H39" s="8">
        <v>1.44</v>
      </c>
      <c r="I39" s="12">
        <v>0</v>
      </c>
    </row>
    <row r="40" spans="2:9" ht="15" customHeight="1" x14ac:dyDescent="0.2">
      <c r="B40" t="s">
        <v>119</v>
      </c>
      <c r="C40" s="12">
        <v>7</v>
      </c>
      <c r="D40" s="8">
        <v>1.47</v>
      </c>
      <c r="E40" s="12">
        <v>0</v>
      </c>
      <c r="F40" s="8">
        <v>0</v>
      </c>
      <c r="G40" s="12">
        <v>7</v>
      </c>
      <c r="H40" s="8">
        <v>3.37</v>
      </c>
      <c r="I40" s="12">
        <v>0</v>
      </c>
    </row>
    <row r="41" spans="2:9" ht="15" customHeight="1" x14ac:dyDescent="0.2">
      <c r="B41" t="s">
        <v>124</v>
      </c>
      <c r="C41" s="12">
        <v>7</v>
      </c>
      <c r="D41" s="8">
        <v>1.47</v>
      </c>
      <c r="E41" s="12">
        <v>4</v>
      </c>
      <c r="F41" s="8">
        <v>1.52</v>
      </c>
      <c r="G41" s="12">
        <v>3</v>
      </c>
      <c r="H41" s="8">
        <v>1.44</v>
      </c>
      <c r="I41" s="12">
        <v>0</v>
      </c>
    </row>
    <row r="42" spans="2:9" ht="15" customHeight="1" x14ac:dyDescent="0.2">
      <c r="B42" t="s">
        <v>121</v>
      </c>
      <c r="C42" s="12">
        <v>7</v>
      </c>
      <c r="D42" s="8">
        <v>1.47</v>
      </c>
      <c r="E42" s="12">
        <v>5</v>
      </c>
      <c r="F42" s="8">
        <v>1.9</v>
      </c>
      <c r="G42" s="12">
        <v>2</v>
      </c>
      <c r="H42" s="8">
        <v>0.96</v>
      </c>
      <c r="I42" s="12">
        <v>0</v>
      </c>
    </row>
    <row r="43" spans="2:9" ht="15" customHeight="1" x14ac:dyDescent="0.2">
      <c r="B43" t="s">
        <v>111</v>
      </c>
      <c r="C43" s="12">
        <v>6</v>
      </c>
      <c r="D43" s="8">
        <v>1.26</v>
      </c>
      <c r="E43" s="12">
        <v>3</v>
      </c>
      <c r="F43" s="8">
        <v>1.1399999999999999</v>
      </c>
      <c r="G43" s="12">
        <v>3</v>
      </c>
      <c r="H43" s="8">
        <v>1.44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159</v>
      </c>
      <c r="C47" s="12">
        <v>24</v>
      </c>
      <c r="D47" s="8">
        <v>5.04</v>
      </c>
      <c r="E47" s="12">
        <v>19</v>
      </c>
      <c r="F47" s="8">
        <v>7.22</v>
      </c>
      <c r="G47" s="12">
        <v>5</v>
      </c>
      <c r="H47" s="8">
        <v>2.4</v>
      </c>
      <c r="I47" s="12">
        <v>0</v>
      </c>
    </row>
    <row r="48" spans="2:9" ht="15" customHeight="1" x14ac:dyDescent="0.2">
      <c r="B48" t="s">
        <v>154</v>
      </c>
      <c r="C48" s="12">
        <v>21</v>
      </c>
      <c r="D48" s="8">
        <v>4.41</v>
      </c>
      <c r="E48" s="12">
        <v>5</v>
      </c>
      <c r="F48" s="8">
        <v>1.9</v>
      </c>
      <c r="G48" s="12">
        <v>16</v>
      </c>
      <c r="H48" s="8">
        <v>7.69</v>
      </c>
      <c r="I48" s="12">
        <v>0</v>
      </c>
    </row>
    <row r="49" spans="2:9" ht="15" customHeight="1" x14ac:dyDescent="0.2">
      <c r="B49" t="s">
        <v>170</v>
      </c>
      <c r="C49" s="12">
        <v>20</v>
      </c>
      <c r="D49" s="8">
        <v>4.2</v>
      </c>
      <c r="E49" s="12">
        <v>20</v>
      </c>
      <c r="F49" s="8">
        <v>7.6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169</v>
      </c>
      <c r="C50" s="12">
        <v>18</v>
      </c>
      <c r="D50" s="8">
        <v>3.78</v>
      </c>
      <c r="E50" s="12">
        <v>18</v>
      </c>
      <c r="F50" s="8">
        <v>6.84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172</v>
      </c>
      <c r="C51" s="12">
        <v>12</v>
      </c>
      <c r="D51" s="8">
        <v>2.52</v>
      </c>
      <c r="E51" s="12">
        <v>10</v>
      </c>
      <c r="F51" s="8">
        <v>3.8</v>
      </c>
      <c r="G51" s="12">
        <v>2</v>
      </c>
      <c r="H51" s="8">
        <v>0.96</v>
      </c>
      <c r="I51" s="12">
        <v>0</v>
      </c>
    </row>
    <row r="52" spans="2:9" ht="15" customHeight="1" x14ac:dyDescent="0.2">
      <c r="B52" t="s">
        <v>174</v>
      </c>
      <c r="C52" s="12">
        <v>11</v>
      </c>
      <c r="D52" s="8">
        <v>2.31</v>
      </c>
      <c r="E52" s="12">
        <v>6</v>
      </c>
      <c r="F52" s="8">
        <v>2.2799999999999998</v>
      </c>
      <c r="G52" s="12">
        <v>5</v>
      </c>
      <c r="H52" s="8">
        <v>2.4</v>
      </c>
      <c r="I52" s="12">
        <v>0</v>
      </c>
    </row>
    <row r="53" spans="2:9" ht="15" customHeight="1" x14ac:dyDescent="0.2">
      <c r="B53" t="s">
        <v>161</v>
      </c>
      <c r="C53" s="12">
        <v>11</v>
      </c>
      <c r="D53" s="8">
        <v>2.31</v>
      </c>
      <c r="E53" s="12">
        <v>9</v>
      </c>
      <c r="F53" s="8">
        <v>3.42</v>
      </c>
      <c r="G53" s="12">
        <v>2</v>
      </c>
      <c r="H53" s="8">
        <v>0.96</v>
      </c>
      <c r="I53" s="12">
        <v>0</v>
      </c>
    </row>
    <row r="54" spans="2:9" ht="15" customHeight="1" x14ac:dyDescent="0.2">
      <c r="B54" t="s">
        <v>155</v>
      </c>
      <c r="C54" s="12">
        <v>10</v>
      </c>
      <c r="D54" s="8">
        <v>2.1</v>
      </c>
      <c r="E54" s="12">
        <v>4</v>
      </c>
      <c r="F54" s="8">
        <v>1.52</v>
      </c>
      <c r="G54" s="12">
        <v>6</v>
      </c>
      <c r="H54" s="8">
        <v>2.88</v>
      </c>
      <c r="I54" s="12">
        <v>0</v>
      </c>
    </row>
    <row r="55" spans="2:9" ht="15" customHeight="1" x14ac:dyDescent="0.2">
      <c r="B55" t="s">
        <v>203</v>
      </c>
      <c r="C55" s="12">
        <v>10</v>
      </c>
      <c r="D55" s="8">
        <v>2.1</v>
      </c>
      <c r="E55" s="12">
        <v>3</v>
      </c>
      <c r="F55" s="8">
        <v>1.1399999999999999</v>
      </c>
      <c r="G55" s="12">
        <v>7</v>
      </c>
      <c r="H55" s="8">
        <v>3.37</v>
      </c>
      <c r="I55" s="12">
        <v>0</v>
      </c>
    </row>
    <row r="56" spans="2:9" ht="15" customHeight="1" x14ac:dyDescent="0.2">
      <c r="B56" t="s">
        <v>156</v>
      </c>
      <c r="C56" s="12">
        <v>10</v>
      </c>
      <c r="D56" s="8">
        <v>2.1</v>
      </c>
      <c r="E56" s="12">
        <v>4</v>
      </c>
      <c r="F56" s="8">
        <v>1.52</v>
      </c>
      <c r="G56" s="12">
        <v>6</v>
      </c>
      <c r="H56" s="8">
        <v>2.88</v>
      </c>
      <c r="I56" s="12">
        <v>0</v>
      </c>
    </row>
    <row r="57" spans="2:9" ht="15" customHeight="1" x14ac:dyDescent="0.2">
      <c r="B57" t="s">
        <v>166</v>
      </c>
      <c r="C57" s="12">
        <v>10</v>
      </c>
      <c r="D57" s="8">
        <v>2.1</v>
      </c>
      <c r="E57" s="12">
        <v>10</v>
      </c>
      <c r="F57" s="8">
        <v>3.8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233</v>
      </c>
      <c r="C58" s="12">
        <v>9</v>
      </c>
      <c r="D58" s="8">
        <v>1.89</v>
      </c>
      <c r="E58" s="12">
        <v>4</v>
      </c>
      <c r="F58" s="8">
        <v>1.52</v>
      </c>
      <c r="G58" s="12">
        <v>5</v>
      </c>
      <c r="H58" s="8">
        <v>2.4</v>
      </c>
      <c r="I58" s="12">
        <v>0</v>
      </c>
    </row>
    <row r="59" spans="2:9" ht="15" customHeight="1" x14ac:dyDescent="0.2">
      <c r="B59" t="s">
        <v>164</v>
      </c>
      <c r="C59" s="12">
        <v>9</v>
      </c>
      <c r="D59" s="8">
        <v>1.89</v>
      </c>
      <c r="E59" s="12">
        <v>2</v>
      </c>
      <c r="F59" s="8">
        <v>0.76</v>
      </c>
      <c r="G59" s="12">
        <v>7</v>
      </c>
      <c r="H59" s="8">
        <v>3.37</v>
      </c>
      <c r="I59" s="12">
        <v>0</v>
      </c>
    </row>
    <row r="60" spans="2:9" ht="15" customHeight="1" x14ac:dyDescent="0.2">
      <c r="B60" t="s">
        <v>173</v>
      </c>
      <c r="C60" s="12">
        <v>9</v>
      </c>
      <c r="D60" s="8">
        <v>1.89</v>
      </c>
      <c r="E60" s="12">
        <v>7</v>
      </c>
      <c r="F60" s="8">
        <v>2.66</v>
      </c>
      <c r="G60" s="12">
        <v>2</v>
      </c>
      <c r="H60" s="8">
        <v>0.96</v>
      </c>
      <c r="I60" s="12">
        <v>0</v>
      </c>
    </row>
    <row r="61" spans="2:9" ht="15" customHeight="1" x14ac:dyDescent="0.2">
      <c r="B61" t="s">
        <v>158</v>
      </c>
      <c r="C61" s="12">
        <v>8</v>
      </c>
      <c r="D61" s="8">
        <v>1.68</v>
      </c>
      <c r="E61" s="12">
        <v>5</v>
      </c>
      <c r="F61" s="8">
        <v>1.9</v>
      </c>
      <c r="G61" s="12">
        <v>3</v>
      </c>
      <c r="H61" s="8">
        <v>1.44</v>
      </c>
      <c r="I61" s="12">
        <v>0</v>
      </c>
    </row>
    <row r="62" spans="2:9" ht="15" customHeight="1" x14ac:dyDescent="0.2">
      <c r="B62" t="s">
        <v>160</v>
      </c>
      <c r="C62" s="12">
        <v>8</v>
      </c>
      <c r="D62" s="8">
        <v>1.68</v>
      </c>
      <c r="E62" s="12">
        <v>2</v>
      </c>
      <c r="F62" s="8">
        <v>0.76</v>
      </c>
      <c r="G62" s="12">
        <v>6</v>
      </c>
      <c r="H62" s="8">
        <v>2.88</v>
      </c>
      <c r="I62" s="12">
        <v>0</v>
      </c>
    </row>
    <row r="63" spans="2:9" ht="15" customHeight="1" x14ac:dyDescent="0.2">
      <c r="B63" t="s">
        <v>167</v>
      </c>
      <c r="C63" s="12">
        <v>8</v>
      </c>
      <c r="D63" s="8">
        <v>1.68</v>
      </c>
      <c r="E63" s="12">
        <v>8</v>
      </c>
      <c r="F63" s="8">
        <v>3.04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181</v>
      </c>
      <c r="C64" s="12">
        <v>7</v>
      </c>
      <c r="D64" s="8">
        <v>1.47</v>
      </c>
      <c r="E64" s="12">
        <v>6</v>
      </c>
      <c r="F64" s="8">
        <v>2.2799999999999998</v>
      </c>
      <c r="G64" s="12">
        <v>1</v>
      </c>
      <c r="H64" s="8">
        <v>0.48</v>
      </c>
      <c r="I64" s="12">
        <v>0</v>
      </c>
    </row>
    <row r="65" spans="2:9" ht="15" customHeight="1" x14ac:dyDescent="0.2">
      <c r="B65" t="s">
        <v>208</v>
      </c>
      <c r="C65" s="12">
        <v>7</v>
      </c>
      <c r="D65" s="8">
        <v>1.47</v>
      </c>
      <c r="E65" s="12">
        <v>6</v>
      </c>
      <c r="F65" s="8">
        <v>2.2799999999999998</v>
      </c>
      <c r="G65" s="12">
        <v>1</v>
      </c>
      <c r="H65" s="8">
        <v>0.48</v>
      </c>
      <c r="I65" s="12">
        <v>0</v>
      </c>
    </row>
    <row r="66" spans="2:9" ht="15" customHeight="1" x14ac:dyDescent="0.2">
      <c r="B66" t="s">
        <v>182</v>
      </c>
      <c r="C66" s="12">
        <v>7</v>
      </c>
      <c r="D66" s="8">
        <v>1.47</v>
      </c>
      <c r="E66" s="12">
        <v>2</v>
      </c>
      <c r="F66" s="8">
        <v>0.76</v>
      </c>
      <c r="G66" s="12">
        <v>5</v>
      </c>
      <c r="H66" s="8">
        <v>2.4</v>
      </c>
      <c r="I66" s="12">
        <v>0</v>
      </c>
    </row>
    <row r="68" spans="2:9" ht="15" customHeight="1" x14ac:dyDescent="0.2">
      <c r="B68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20874-2212-4D84-8B1E-AE32AB61DE5C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347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17</v>
      </c>
      <c r="D6" s="8">
        <v>13.6</v>
      </c>
      <c r="E6" s="12">
        <v>13</v>
      </c>
      <c r="F6" s="8">
        <v>14.29</v>
      </c>
      <c r="G6" s="12">
        <v>4</v>
      </c>
      <c r="H6" s="8">
        <v>12.5</v>
      </c>
      <c r="I6" s="12">
        <v>0</v>
      </c>
    </row>
    <row r="7" spans="2:9" ht="15" customHeight="1" x14ac:dyDescent="0.2">
      <c r="B7" t="s">
        <v>77</v>
      </c>
      <c r="C7" s="12">
        <v>34</v>
      </c>
      <c r="D7" s="8">
        <v>27.2</v>
      </c>
      <c r="E7" s="12">
        <v>18</v>
      </c>
      <c r="F7" s="8">
        <v>19.78</v>
      </c>
      <c r="G7" s="12">
        <v>15</v>
      </c>
      <c r="H7" s="8">
        <v>46.88</v>
      </c>
      <c r="I7" s="12">
        <v>1</v>
      </c>
    </row>
    <row r="8" spans="2:9" ht="15" customHeight="1" x14ac:dyDescent="0.2">
      <c r="B8" t="s">
        <v>78</v>
      </c>
      <c r="C8" s="12">
        <v>1</v>
      </c>
      <c r="D8" s="8">
        <v>0.8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80</v>
      </c>
      <c r="C10" s="12">
        <v>2</v>
      </c>
      <c r="D10" s="8">
        <v>1.6</v>
      </c>
      <c r="E10" s="12">
        <v>0</v>
      </c>
      <c r="F10" s="8">
        <v>0</v>
      </c>
      <c r="G10" s="12">
        <v>2</v>
      </c>
      <c r="H10" s="8">
        <v>6.25</v>
      </c>
      <c r="I10" s="12">
        <v>0</v>
      </c>
    </row>
    <row r="11" spans="2:9" ht="15" customHeight="1" x14ac:dyDescent="0.2">
      <c r="B11" t="s">
        <v>81</v>
      </c>
      <c r="C11" s="12">
        <v>36</v>
      </c>
      <c r="D11" s="8">
        <v>28.8</v>
      </c>
      <c r="E11" s="12">
        <v>30</v>
      </c>
      <c r="F11" s="8">
        <v>32.97</v>
      </c>
      <c r="G11" s="12">
        <v>6</v>
      </c>
      <c r="H11" s="8">
        <v>18.75</v>
      </c>
      <c r="I11" s="12">
        <v>0</v>
      </c>
    </row>
    <row r="12" spans="2:9" ht="15" customHeight="1" x14ac:dyDescent="0.2">
      <c r="B12" t="s">
        <v>82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83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84</v>
      </c>
      <c r="C14" s="12">
        <v>7</v>
      </c>
      <c r="D14" s="8">
        <v>5.6</v>
      </c>
      <c r="E14" s="12">
        <v>7</v>
      </c>
      <c r="F14" s="8">
        <v>7.69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85</v>
      </c>
      <c r="C15" s="12">
        <v>13</v>
      </c>
      <c r="D15" s="8">
        <v>10.4</v>
      </c>
      <c r="E15" s="12">
        <v>10</v>
      </c>
      <c r="F15" s="8">
        <v>10.99</v>
      </c>
      <c r="G15" s="12">
        <v>3</v>
      </c>
      <c r="H15" s="8">
        <v>9.3800000000000008</v>
      </c>
      <c r="I15" s="12">
        <v>0</v>
      </c>
    </row>
    <row r="16" spans="2:9" ht="15" customHeight="1" x14ac:dyDescent="0.2">
      <c r="B16" t="s">
        <v>86</v>
      </c>
      <c r="C16" s="12">
        <v>6</v>
      </c>
      <c r="D16" s="8">
        <v>4.8</v>
      </c>
      <c r="E16" s="12">
        <v>6</v>
      </c>
      <c r="F16" s="8">
        <v>6.59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87</v>
      </c>
      <c r="C17" s="12">
        <v>4</v>
      </c>
      <c r="D17" s="8">
        <v>3.2</v>
      </c>
      <c r="E17" s="12">
        <v>2</v>
      </c>
      <c r="F17" s="8">
        <v>2.2000000000000002</v>
      </c>
      <c r="G17" s="12">
        <v>2</v>
      </c>
      <c r="H17" s="8">
        <v>6.25</v>
      </c>
      <c r="I17" s="12">
        <v>0</v>
      </c>
    </row>
    <row r="18" spans="2:9" ht="15" customHeight="1" x14ac:dyDescent="0.2">
      <c r="B18" t="s">
        <v>88</v>
      </c>
      <c r="C18" s="12">
        <v>2</v>
      </c>
      <c r="D18" s="8">
        <v>1.6</v>
      </c>
      <c r="E18" s="12">
        <v>2</v>
      </c>
      <c r="F18" s="8">
        <v>2.2000000000000002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89</v>
      </c>
      <c r="C19" s="12">
        <v>3</v>
      </c>
      <c r="D19" s="8">
        <v>2.4</v>
      </c>
      <c r="E19" s="12">
        <v>3</v>
      </c>
      <c r="F19" s="8">
        <v>3.3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285</v>
      </c>
      <c r="C20" s="12">
        <f>SUM(LTBL_40448[総数／事業所数])</f>
        <v>125</v>
      </c>
      <c r="E20" s="12">
        <f>SUBTOTAL(109,LTBL_40448[個人／事業所数])</f>
        <v>91</v>
      </c>
      <c r="G20" s="12">
        <f>SUBTOTAL(109,LTBL_40448[法人／事業所数])</f>
        <v>32</v>
      </c>
      <c r="I20" s="12">
        <f>SUBTOTAL(109,LTBL_40448[法人以外の団体／事業所数])</f>
        <v>1</v>
      </c>
    </row>
    <row r="21" spans="2:9" ht="15" customHeight="1" x14ac:dyDescent="0.2">
      <c r="E21" s="11">
        <f>LTBL_40448[[#Totals],[個人／事業所数]]/LTBL_40448[[#Totals],[総数／事業所数]]</f>
        <v>0.72799999999999998</v>
      </c>
      <c r="G21" s="11">
        <f>LTBL_40448[[#Totals],[法人／事業所数]]/LTBL_40448[[#Totals],[総数／事業所数]]</f>
        <v>0.25600000000000001</v>
      </c>
      <c r="I21" s="11">
        <f>LTBL_40448[[#Totals],[法人以外の団体／事業所数]]/LTBL_40448[[#Totals],[総数／事業所数]]</f>
        <v>8.0000000000000002E-3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107</v>
      </c>
      <c r="C24" s="12">
        <v>26</v>
      </c>
      <c r="D24" s="8">
        <v>20.8</v>
      </c>
      <c r="E24" s="12">
        <v>21</v>
      </c>
      <c r="F24" s="8">
        <v>23.08</v>
      </c>
      <c r="G24" s="12">
        <v>5</v>
      </c>
      <c r="H24" s="8">
        <v>15.63</v>
      </c>
      <c r="I24" s="12">
        <v>0</v>
      </c>
    </row>
    <row r="25" spans="2:9" ht="15" customHeight="1" x14ac:dyDescent="0.2">
      <c r="B25" t="s">
        <v>136</v>
      </c>
      <c r="C25" s="12">
        <v>25</v>
      </c>
      <c r="D25" s="8">
        <v>20</v>
      </c>
      <c r="E25" s="12">
        <v>16</v>
      </c>
      <c r="F25" s="8">
        <v>17.579999999999998</v>
      </c>
      <c r="G25" s="12">
        <v>9</v>
      </c>
      <c r="H25" s="8">
        <v>28.13</v>
      </c>
      <c r="I25" s="12">
        <v>0</v>
      </c>
    </row>
    <row r="26" spans="2:9" ht="15" customHeight="1" x14ac:dyDescent="0.2">
      <c r="B26" t="s">
        <v>98</v>
      </c>
      <c r="C26" s="12">
        <v>12</v>
      </c>
      <c r="D26" s="8">
        <v>9.6</v>
      </c>
      <c r="E26" s="12">
        <v>8</v>
      </c>
      <c r="F26" s="8">
        <v>8.7899999999999991</v>
      </c>
      <c r="G26" s="12">
        <v>4</v>
      </c>
      <c r="H26" s="8">
        <v>12.5</v>
      </c>
      <c r="I26" s="12">
        <v>0</v>
      </c>
    </row>
    <row r="27" spans="2:9" ht="15" customHeight="1" x14ac:dyDescent="0.2">
      <c r="B27" t="s">
        <v>112</v>
      </c>
      <c r="C27" s="12">
        <v>12</v>
      </c>
      <c r="D27" s="8">
        <v>9.6</v>
      </c>
      <c r="E27" s="12">
        <v>10</v>
      </c>
      <c r="F27" s="8">
        <v>10.99</v>
      </c>
      <c r="G27" s="12">
        <v>2</v>
      </c>
      <c r="H27" s="8">
        <v>6.25</v>
      </c>
      <c r="I27" s="12">
        <v>0</v>
      </c>
    </row>
    <row r="28" spans="2:9" ht="15" customHeight="1" x14ac:dyDescent="0.2">
      <c r="B28" t="s">
        <v>110</v>
      </c>
      <c r="C28" s="12">
        <v>7</v>
      </c>
      <c r="D28" s="8">
        <v>5.6</v>
      </c>
      <c r="E28" s="12">
        <v>7</v>
      </c>
      <c r="F28" s="8">
        <v>7.69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113</v>
      </c>
      <c r="C29" s="12">
        <v>6</v>
      </c>
      <c r="D29" s="8">
        <v>4.8</v>
      </c>
      <c r="E29" s="12">
        <v>6</v>
      </c>
      <c r="F29" s="8">
        <v>6.59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105</v>
      </c>
      <c r="C30" s="12">
        <v>5</v>
      </c>
      <c r="D30" s="8">
        <v>4</v>
      </c>
      <c r="E30" s="12">
        <v>5</v>
      </c>
      <c r="F30" s="8">
        <v>5.49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114</v>
      </c>
      <c r="C31" s="12">
        <v>4</v>
      </c>
      <c r="D31" s="8">
        <v>3.2</v>
      </c>
      <c r="E31" s="12">
        <v>2</v>
      </c>
      <c r="F31" s="8">
        <v>2.2000000000000002</v>
      </c>
      <c r="G31" s="12">
        <v>2</v>
      </c>
      <c r="H31" s="8">
        <v>6.25</v>
      </c>
      <c r="I31" s="12">
        <v>0</v>
      </c>
    </row>
    <row r="32" spans="2:9" ht="15" customHeight="1" x14ac:dyDescent="0.2">
      <c r="B32" t="s">
        <v>99</v>
      </c>
      <c r="C32" s="12">
        <v>3</v>
      </c>
      <c r="D32" s="8">
        <v>2.4</v>
      </c>
      <c r="E32" s="12">
        <v>3</v>
      </c>
      <c r="F32" s="8">
        <v>3.3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135</v>
      </c>
      <c r="C33" s="12">
        <v>3</v>
      </c>
      <c r="D33" s="8">
        <v>2.4</v>
      </c>
      <c r="E33" s="12">
        <v>0</v>
      </c>
      <c r="F33" s="8">
        <v>0</v>
      </c>
      <c r="G33" s="12">
        <v>2</v>
      </c>
      <c r="H33" s="8">
        <v>6.25</v>
      </c>
      <c r="I33" s="12">
        <v>1</v>
      </c>
    </row>
    <row r="34" spans="2:9" ht="15" customHeight="1" x14ac:dyDescent="0.2">
      <c r="B34" t="s">
        <v>106</v>
      </c>
      <c r="C34" s="12">
        <v>3</v>
      </c>
      <c r="D34" s="8">
        <v>2.4</v>
      </c>
      <c r="E34" s="12">
        <v>3</v>
      </c>
      <c r="F34" s="8">
        <v>3.3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123</v>
      </c>
      <c r="C35" s="12">
        <v>3</v>
      </c>
      <c r="D35" s="8">
        <v>2.4</v>
      </c>
      <c r="E35" s="12">
        <v>3</v>
      </c>
      <c r="F35" s="8">
        <v>3.3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100</v>
      </c>
      <c r="C36" s="12">
        <v>2</v>
      </c>
      <c r="D36" s="8">
        <v>1.6</v>
      </c>
      <c r="E36" s="12">
        <v>2</v>
      </c>
      <c r="F36" s="8">
        <v>2.2000000000000002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130</v>
      </c>
      <c r="C37" s="12">
        <v>2</v>
      </c>
      <c r="D37" s="8">
        <v>1.6</v>
      </c>
      <c r="E37" s="12">
        <v>0</v>
      </c>
      <c r="F37" s="8">
        <v>0</v>
      </c>
      <c r="G37" s="12">
        <v>2</v>
      </c>
      <c r="H37" s="8">
        <v>6.25</v>
      </c>
      <c r="I37" s="12">
        <v>0</v>
      </c>
    </row>
    <row r="38" spans="2:9" ht="15" customHeight="1" x14ac:dyDescent="0.2">
      <c r="B38" t="s">
        <v>138</v>
      </c>
      <c r="C38" s="12">
        <v>2</v>
      </c>
      <c r="D38" s="8">
        <v>1.6</v>
      </c>
      <c r="E38" s="12">
        <v>0</v>
      </c>
      <c r="F38" s="8">
        <v>0</v>
      </c>
      <c r="G38" s="12">
        <v>2</v>
      </c>
      <c r="H38" s="8">
        <v>6.25</v>
      </c>
      <c r="I38" s="12">
        <v>0</v>
      </c>
    </row>
    <row r="39" spans="2:9" ht="15" customHeight="1" x14ac:dyDescent="0.2">
      <c r="B39" t="s">
        <v>115</v>
      </c>
      <c r="C39" s="12">
        <v>2</v>
      </c>
      <c r="D39" s="8">
        <v>1.6</v>
      </c>
      <c r="E39" s="12">
        <v>2</v>
      </c>
      <c r="F39" s="8">
        <v>2.2000000000000002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133</v>
      </c>
      <c r="C40" s="12">
        <v>1</v>
      </c>
      <c r="D40" s="8">
        <v>0.8</v>
      </c>
      <c r="E40" s="12">
        <v>1</v>
      </c>
      <c r="F40" s="8">
        <v>1.1000000000000001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131</v>
      </c>
      <c r="C41" s="12">
        <v>1</v>
      </c>
      <c r="D41" s="8">
        <v>0.8</v>
      </c>
      <c r="E41" s="12">
        <v>0</v>
      </c>
      <c r="F41" s="8">
        <v>0</v>
      </c>
      <c r="G41" s="12">
        <v>1</v>
      </c>
      <c r="H41" s="8">
        <v>3.13</v>
      </c>
      <c r="I41" s="12">
        <v>0</v>
      </c>
    </row>
    <row r="42" spans="2:9" ht="15" customHeight="1" x14ac:dyDescent="0.2">
      <c r="B42" t="s">
        <v>129</v>
      </c>
      <c r="C42" s="12">
        <v>1</v>
      </c>
      <c r="D42" s="8">
        <v>0.8</v>
      </c>
      <c r="E42" s="12">
        <v>1</v>
      </c>
      <c r="F42" s="8">
        <v>1.1000000000000001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145</v>
      </c>
      <c r="C43" s="12">
        <v>1</v>
      </c>
      <c r="D43" s="8">
        <v>0.8</v>
      </c>
      <c r="E43" s="12">
        <v>0</v>
      </c>
      <c r="F43" s="8">
        <v>0</v>
      </c>
      <c r="G43" s="12">
        <v>1</v>
      </c>
      <c r="H43" s="8">
        <v>3.13</v>
      </c>
      <c r="I43" s="12">
        <v>0</v>
      </c>
    </row>
    <row r="44" spans="2:9" ht="15" customHeight="1" x14ac:dyDescent="0.2">
      <c r="B44" t="s">
        <v>148</v>
      </c>
      <c r="C44" s="12">
        <v>1</v>
      </c>
      <c r="D44" s="8">
        <v>0.8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102</v>
      </c>
      <c r="C45" s="12">
        <v>1</v>
      </c>
      <c r="D45" s="8">
        <v>0.8</v>
      </c>
      <c r="E45" s="12">
        <v>1</v>
      </c>
      <c r="F45" s="8">
        <v>1.1000000000000001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126</v>
      </c>
      <c r="C46" s="12">
        <v>1</v>
      </c>
      <c r="D46" s="8">
        <v>0.8</v>
      </c>
      <c r="E46" s="12">
        <v>0</v>
      </c>
      <c r="F46" s="8">
        <v>0</v>
      </c>
      <c r="G46" s="12">
        <v>1</v>
      </c>
      <c r="H46" s="8">
        <v>3.13</v>
      </c>
      <c r="I46" s="12">
        <v>0</v>
      </c>
    </row>
    <row r="47" spans="2:9" ht="15" customHeight="1" x14ac:dyDescent="0.2">
      <c r="B47" t="s">
        <v>121</v>
      </c>
      <c r="C47" s="12">
        <v>1</v>
      </c>
      <c r="D47" s="8">
        <v>0.8</v>
      </c>
      <c r="E47" s="12">
        <v>0</v>
      </c>
      <c r="F47" s="8">
        <v>0</v>
      </c>
      <c r="G47" s="12">
        <v>1</v>
      </c>
      <c r="H47" s="8">
        <v>3.13</v>
      </c>
      <c r="I47" s="12">
        <v>0</v>
      </c>
    </row>
    <row r="50" spans="2:9" ht="33" customHeight="1" x14ac:dyDescent="0.2">
      <c r="B50" t="s">
        <v>287</v>
      </c>
      <c r="C50" s="10" t="s">
        <v>91</v>
      </c>
      <c r="D50" s="10" t="s">
        <v>92</v>
      </c>
      <c r="E50" s="10" t="s">
        <v>93</v>
      </c>
      <c r="F50" s="10" t="s">
        <v>94</v>
      </c>
      <c r="G50" s="10" t="s">
        <v>95</v>
      </c>
      <c r="H50" s="10" t="s">
        <v>96</v>
      </c>
      <c r="I50" s="10" t="s">
        <v>97</v>
      </c>
    </row>
    <row r="51" spans="2:9" ht="15" customHeight="1" x14ac:dyDescent="0.2">
      <c r="B51" t="s">
        <v>258</v>
      </c>
      <c r="C51" s="12">
        <v>24</v>
      </c>
      <c r="D51" s="8">
        <v>19.2</v>
      </c>
      <c r="E51" s="12">
        <v>15</v>
      </c>
      <c r="F51" s="8">
        <v>16.48</v>
      </c>
      <c r="G51" s="12">
        <v>9</v>
      </c>
      <c r="H51" s="8">
        <v>28.13</v>
      </c>
      <c r="I51" s="12">
        <v>0</v>
      </c>
    </row>
    <row r="52" spans="2:9" ht="15" customHeight="1" x14ac:dyDescent="0.2">
      <c r="B52" t="s">
        <v>259</v>
      </c>
      <c r="C52" s="12">
        <v>19</v>
      </c>
      <c r="D52" s="8">
        <v>15.2</v>
      </c>
      <c r="E52" s="12">
        <v>19</v>
      </c>
      <c r="F52" s="8">
        <v>20.88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154</v>
      </c>
      <c r="C53" s="12">
        <v>7</v>
      </c>
      <c r="D53" s="8">
        <v>5.6</v>
      </c>
      <c r="E53" s="12">
        <v>5</v>
      </c>
      <c r="F53" s="8">
        <v>5.49</v>
      </c>
      <c r="G53" s="12">
        <v>2</v>
      </c>
      <c r="H53" s="8">
        <v>6.25</v>
      </c>
      <c r="I53" s="12">
        <v>0</v>
      </c>
    </row>
    <row r="54" spans="2:9" ht="15" customHeight="1" x14ac:dyDescent="0.2">
      <c r="B54" t="s">
        <v>260</v>
      </c>
      <c r="C54" s="12">
        <v>7</v>
      </c>
      <c r="D54" s="8">
        <v>5.6</v>
      </c>
      <c r="E54" s="12">
        <v>7</v>
      </c>
      <c r="F54" s="8">
        <v>7.69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208</v>
      </c>
      <c r="C55" s="12">
        <v>3</v>
      </c>
      <c r="D55" s="8">
        <v>2.4</v>
      </c>
      <c r="E55" s="12">
        <v>3</v>
      </c>
      <c r="F55" s="8">
        <v>3.3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178</v>
      </c>
      <c r="C56" s="12">
        <v>3</v>
      </c>
      <c r="D56" s="8">
        <v>2.4</v>
      </c>
      <c r="E56" s="12">
        <v>2</v>
      </c>
      <c r="F56" s="8">
        <v>2.2000000000000002</v>
      </c>
      <c r="G56" s="12">
        <v>1</v>
      </c>
      <c r="H56" s="8">
        <v>3.13</v>
      </c>
      <c r="I56" s="12">
        <v>0</v>
      </c>
    </row>
    <row r="57" spans="2:9" ht="15" customHeight="1" x14ac:dyDescent="0.2">
      <c r="B57" t="s">
        <v>166</v>
      </c>
      <c r="C57" s="12">
        <v>3</v>
      </c>
      <c r="D57" s="8">
        <v>2.4</v>
      </c>
      <c r="E57" s="12">
        <v>2</v>
      </c>
      <c r="F57" s="8">
        <v>2.2000000000000002</v>
      </c>
      <c r="G57" s="12">
        <v>1</v>
      </c>
      <c r="H57" s="8">
        <v>3.13</v>
      </c>
      <c r="I57" s="12">
        <v>0</v>
      </c>
    </row>
    <row r="58" spans="2:9" ht="15" customHeight="1" x14ac:dyDescent="0.2">
      <c r="B58" t="s">
        <v>179</v>
      </c>
      <c r="C58" s="12">
        <v>3</v>
      </c>
      <c r="D58" s="8">
        <v>2.4</v>
      </c>
      <c r="E58" s="12">
        <v>3</v>
      </c>
      <c r="F58" s="8">
        <v>3.3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170</v>
      </c>
      <c r="C59" s="12">
        <v>3</v>
      </c>
      <c r="D59" s="8">
        <v>2.4</v>
      </c>
      <c r="E59" s="12">
        <v>3</v>
      </c>
      <c r="F59" s="8">
        <v>3.3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173</v>
      </c>
      <c r="C60" s="12">
        <v>3</v>
      </c>
      <c r="D60" s="8">
        <v>2.4</v>
      </c>
      <c r="E60" s="12">
        <v>3</v>
      </c>
      <c r="F60" s="8">
        <v>3.3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155</v>
      </c>
      <c r="C61" s="12">
        <v>2</v>
      </c>
      <c r="D61" s="8">
        <v>1.6</v>
      </c>
      <c r="E61" s="12">
        <v>2</v>
      </c>
      <c r="F61" s="8">
        <v>2.2000000000000002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223</v>
      </c>
      <c r="C62" s="12">
        <v>2</v>
      </c>
      <c r="D62" s="8">
        <v>1.6</v>
      </c>
      <c r="E62" s="12">
        <v>0</v>
      </c>
      <c r="F62" s="8">
        <v>0</v>
      </c>
      <c r="G62" s="12">
        <v>2</v>
      </c>
      <c r="H62" s="8">
        <v>6.25</v>
      </c>
      <c r="I62" s="12">
        <v>0</v>
      </c>
    </row>
    <row r="63" spans="2:9" ht="15" customHeight="1" x14ac:dyDescent="0.2">
      <c r="B63" t="s">
        <v>215</v>
      </c>
      <c r="C63" s="12">
        <v>2</v>
      </c>
      <c r="D63" s="8">
        <v>1.6</v>
      </c>
      <c r="E63" s="12">
        <v>0</v>
      </c>
      <c r="F63" s="8">
        <v>0</v>
      </c>
      <c r="G63" s="12">
        <v>1</v>
      </c>
      <c r="H63" s="8">
        <v>3.13</v>
      </c>
      <c r="I63" s="12">
        <v>1</v>
      </c>
    </row>
    <row r="64" spans="2:9" ht="15" customHeight="1" x14ac:dyDescent="0.2">
      <c r="B64" t="s">
        <v>227</v>
      </c>
      <c r="C64" s="12">
        <v>2</v>
      </c>
      <c r="D64" s="8">
        <v>1.6</v>
      </c>
      <c r="E64" s="12">
        <v>0</v>
      </c>
      <c r="F64" s="8">
        <v>0</v>
      </c>
      <c r="G64" s="12">
        <v>2</v>
      </c>
      <c r="H64" s="8">
        <v>6.25</v>
      </c>
      <c r="I64" s="12">
        <v>0</v>
      </c>
    </row>
    <row r="65" spans="2:9" ht="15" customHeight="1" x14ac:dyDescent="0.2">
      <c r="B65" t="s">
        <v>158</v>
      </c>
      <c r="C65" s="12">
        <v>2</v>
      </c>
      <c r="D65" s="8">
        <v>1.6</v>
      </c>
      <c r="E65" s="12">
        <v>2</v>
      </c>
      <c r="F65" s="8">
        <v>2.2000000000000002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205</v>
      </c>
      <c r="C66" s="12">
        <v>2</v>
      </c>
      <c r="D66" s="8">
        <v>1.6</v>
      </c>
      <c r="E66" s="12">
        <v>0</v>
      </c>
      <c r="F66" s="8">
        <v>0</v>
      </c>
      <c r="G66" s="12">
        <v>2</v>
      </c>
      <c r="H66" s="8">
        <v>6.25</v>
      </c>
      <c r="I66" s="12">
        <v>0</v>
      </c>
    </row>
    <row r="67" spans="2:9" ht="15" customHeight="1" x14ac:dyDescent="0.2">
      <c r="B67" t="s">
        <v>161</v>
      </c>
      <c r="C67" s="12">
        <v>2</v>
      </c>
      <c r="D67" s="8">
        <v>1.6</v>
      </c>
      <c r="E67" s="12">
        <v>0</v>
      </c>
      <c r="F67" s="8">
        <v>0</v>
      </c>
      <c r="G67" s="12">
        <v>2</v>
      </c>
      <c r="H67" s="8">
        <v>6.25</v>
      </c>
      <c r="I67" s="12">
        <v>0</v>
      </c>
    </row>
    <row r="68" spans="2:9" ht="15" customHeight="1" x14ac:dyDescent="0.2">
      <c r="B68" t="s">
        <v>231</v>
      </c>
      <c r="C68" s="12">
        <v>2</v>
      </c>
      <c r="D68" s="8">
        <v>1.6</v>
      </c>
      <c r="E68" s="12">
        <v>2</v>
      </c>
      <c r="F68" s="8">
        <v>2.2000000000000002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169</v>
      </c>
      <c r="C69" s="12">
        <v>2</v>
      </c>
      <c r="D69" s="8">
        <v>1.6</v>
      </c>
      <c r="E69" s="12">
        <v>2</v>
      </c>
      <c r="F69" s="8">
        <v>2.2000000000000002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171</v>
      </c>
      <c r="C70" s="12">
        <v>2</v>
      </c>
      <c r="D70" s="8">
        <v>1.6</v>
      </c>
      <c r="E70" s="12">
        <v>1</v>
      </c>
      <c r="F70" s="8">
        <v>1.1000000000000001</v>
      </c>
      <c r="G70" s="12">
        <v>1</v>
      </c>
      <c r="H70" s="8">
        <v>3.13</v>
      </c>
      <c r="I70" s="12">
        <v>0</v>
      </c>
    </row>
    <row r="72" spans="2:9" ht="15" customHeight="1" x14ac:dyDescent="0.2">
      <c r="B72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798B8-012B-41FA-9558-07DD93743099}">
  <sheetPr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348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49</v>
      </c>
      <c r="D6" s="8">
        <v>19.07</v>
      </c>
      <c r="E6" s="12">
        <v>20</v>
      </c>
      <c r="F6" s="8">
        <v>13.79</v>
      </c>
      <c r="G6" s="12">
        <v>29</v>
      </c>
      <c r="H6" s="8">
        <v>27.1</v>
      </c>
      <c r="I6" s="12">
        <v>0</v>
      </c>
    </row>
    <row r="7" spans="2:9" ht="15" customHeight="1" x14ac:dyDescent="0.2">
      <c r="B7" t="s">
        <v>77</v>
      </c>
      <c r="C7" s="12">
        <v>25</v>
      </c>
      <c r="D7" s="8">
        <v>9.73</v>
      </c>
      <c r="E7" s="12">
        <v>7</v>
      </c>
      <c r="F7" s="8">
        <v>4.83</v>
      </c>
      <c r="G7" s="12">
        <v>18</v>
      </c>
      <c r="H7" s="8">
        <v>16.82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80</v>
      </c>
      <c r="C10" s="12">
        <v>8</v>
      </c>
      <c r="D10" s="8">
        <v>3.11</v>
      </c>
      <c r="E10" s="12">
        <v>2</v>
      </c>
      <c r="F10" s="8">
        <v>1.38</v>
      </c>
      <c r="G10" s="12">
        <v>6</v>
      </c>
      <c r="H10" s="8">
        <v>5.61</v>
      </c>
      <c r="I10" s="12">
        <v>0</v>
      </c>
    </row>
    <row r="11" spans="2:9" ht="15" customHeight="1" x14ac:dyDescent="0.2">
      <c r="B11" t="s">
        <v>81</v>
      </c>
      <c r="C11" s="12">
        <v>66</v>
      </c>
      <c r="D11" s="8">
        <v>25.68</v>
      </c>
      <c r="E11" s="12">
        <v>38</v>
      </c>
      <c r="F11" s="8">
        <v>26.21</v>
      </c>
      <c r="G11" s="12">
        <v>28</v>
      </c>
      <c r="H11" s="8">
        <v>26.17</v>
      </c>
      <c r="I11" s="12">
        <v>0</v>
      </c>
    </row>
    <row r="12" spans="2:9" ht="15" customHeight="1" x14ac:dyDescent="0.2">
      <c r="B12" t="s">
        <v>82</v>
      </c>
      <c r="C12" s="12">
        <v>1</v>
      </c>
      <c r="D12" s="8">
        <v>0.39</v>
      </c>
      <c r="E12" s="12">
        <v>1</v>
      </c>
      <c r="F12" s="8">
        <v>0.69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83</v>
      </c>
      <c r="C13" s="12">
        <v>8</v>
      </c>
      <c r="D13" s="8">
        <v>3.11</v>
      </c>
      <c r="E13" s="12">
        <v>2</v>
      </c>
      <c r="F13" s="8">
        <v>1.38</v>
      </c>
      <c r="G13" s="12">
        <v>6</v>
      </c>
      <c r="H13" s="8">
        <v>5.61</v>
      </c>
      <c r="I13" s="12">
        <v>0</v>
      </c>
    </row>
    <row r="14" spans="2:9" ht="15" customHeight="1" x14ac:dyDescent="0.2">
      <c r="B14" t="s">
        <v>84</v>
      </c>
      <c r="C14" s="12">
        <v>6</v>
      </c>
      <c r="D14" s="8">
        <v>2.33</v>
      </c>
      <c r="E14" s="12">
        <v>5</v>
      </c>
      <c r="F14" s="8">
        <v>3.45</v>
      </c>
      <c r="G14" s="12">
        <v>1</v>
      </c>
      <c r="H14" s="8">
        <v>0.93</v>
      </c>
      <c r="I14" s="12">
        <v>0</v>
      </c>
    </row>
    <row r="15" spans="2:9" ht="15" customHeight="1" x14ac:dyDescent="0.2">
      <c r="B15" t="s">
        <v>85</v>
      </c>
      <c r="C15" s="12">
        <v>11</v>
      </c>
      <c r="D15" s="8">
        <v>4.28</v>
      </c>
      <c r="E15" s="12">
        <v>10</v>
      </c>
      <c r="F15" s="8">
        <v>6.9</v>
      </c>
      <c r="G15" s="12">
        <v>1</v>
      </c>
      <c r="H15" s="8">
        <v>0.93</v>
      </c>
      <c r="I15" s="12">
        <v>0</v>
      </c>
    </row>
    <row r="16" spans="2:9" ht="15" customHeight="1" x14ac:dyDescent="0.2">
      <c r="B16" t="s">
        <v>86</v>
      </c>
      <c r="C16" s="12">
        <v>32</v>
      </c>
      <c r="D16" s="8">
        <v>12.45</v>
      </c>
      <c r="E16" s="12">
        <v>26</v>
      </c>
      <c r="F16" s="8">
        <v>17.93</v>
      </c>
      <c r="G16" s="12">
        <v>6</v>
      </c>
      <c r="H16" s="8">
        <v>5.61</v>
      </c>
      <c r="I16" s="12">
        <v>0</v>
      </c>
    </row>
    <row r="17" spans="2:9" ht="15" customHeight="1" x14ac:dyDescent="0.2">
      <c r="B17" t="s">
        <v>87</v>
      </c>
      <c r="C17" s="12">
        <v>10</v>
      </c>
      <c r="D17" s="8">
        <v>3.89</v>
      </c>
      <c r="E17" s="12">
        <v>10</v>
      </c>
      <c r="F17" s="8">
        <v>6.9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88</v>
      </c>
      <c r="C18" s="12">
        <v>17</v>
      </c>
      <c r="D18" s="8">
        <v>6.61</v>
      </c>
      <c r="E18" s="12">
        <v>8</v>
      </c>
      <c r="F18" s="8">
        <v>5.52</v>
      </c>
      <c r="G18" s="12">
        <v>8</v>
      </c>
      <c r="H18" s="8">
        <v>7.48</v>
      </c>
      <c r="I18" s="12">
        <v>0</v>
      </c>
    </row>
    <row r="19" spans="2:9" ht="15" customHeight="1" x14ac:dyDescent="0.2">
      <c r="B19" t="s">
        <v>89</v>
      </c>
      <c r="C19" s="12">
        <v>24</v>
      </c>
      <c r="D19" s="8">
        <v>9.34</v>
      </c>
      <c r="E19" s="12">
        <v>16</v>
      </c>
      <c r="F19" s="8">
        <v>11.03</v>
      </c>
      <c r="G19" s="12">
        <v>4</v>
      </c>
      <c r="H19" s="8">
        <v>3.74</v>
      </c>
      <c r="I19" s="12">
        <v>4</v>
      </c>
    </row>
    <row r="20" spans="2:9" ht="15" customHeight="1" x14ac:dyDescent="0.2">
      <c r="B20" s="9" t="s">
        <v>285</v>
      </c>
      <c r="C20" s="12">
        <f>SUM(LTBL_40503[総数／事業所数])</f>
        <v>257</v>
      </c>
      <c r="E20" s="12">
        <f>SUBTOTAL(109,LTBL_40503[個人／事業所数])</f>
        <v>145</v>
      </c>
      <c r="G20" s="12">
        <f>SUBTOTAL(109,LTBL_40503[法人／事業所数])</f>
        <v>107</v>
      </c>
      <c r="I20" s="12">
        <f>SUBTOTAL(109,LTBL_40503[法人以外の団体／事業所数])</f>
        <v>4</v>
      </c>
    </row>
    <row r="21" spans="2:9" ht="15" customHeight="1" x14ac:dyDescent="0.2">
      <c r="E21" s="11">
        <f>LTBL_40503[[#Totals],[個人／事業所数]]/LTBL_40503[[#Totals],[総数／事業所数]]</f>
        <v>0.56420233463035019</v>
      </c>
      <c r="G21" s="11">
        <f>LTBL_40503[[#Totals],[法人／事業所数]]/LTBL_40503[[#Totals],[総数／事業所数]]</f>
        <v>0.41634241245136189</v>
      </c>
      <c r="I21" s="11">
        <f>LTBL_40503[[#Totals],[法人以外の団体／事業所数]]/LTBL_40503[[#Totals],[総数／事業所数]]</f>
        <v>1.556420233463035E-2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98</v>
      </c>
      <c r="C24" s="12">
        <v>29</v>
      </c>
      <c r="D24" s="8">
        <v>11.28</v>
      </c>
      <c r="E24" s="12">
        <v>11</v>
      </c>
      <c r="F24" s="8">
        <v>7.59</v>
      </c>
      <c r="G24" s="12">
        <v>18</v>
      </c>
      <c r="H24" s="8">
        <v>16.82</v>
      </c>
      <c r="I24" s="12">
        <v>0</v>
      </c>
    </row>
    <row r="25" spans="2:9" ht="15" customHeight="1" x14ac:dyDescent="0.2">
      <c r="B25" t="s">
        <v>113</v>
      </c>
      <c r="C25" s="12">
        <v>26</v>
      </c>
      <c r="D25" s="8">
        <v>10.119999999999999</v>
      </c>
      <c r="E25" s="12">
        <v>22</v>
      </c>
      <c r="F25" s="8">
        <v>15.17</v>
      </c>
      <c r="G25" s="12">
        <v>4</v>
      </c>
      <c r="H25" s="8">
        <v>3.74</v>
      </c>
      <c r="I25" s="12">
        <v>0</v>
      </c>
    </row>
    <row r="26" spans="2:9" ht="15" customHeight="1" x14ac:dyDescent="0.2">
      <c r="B26" t="s">
        <v>105</v>
      </c>
      <c r="C26" s="12">
        <v>16</v>
      </c>
      <c r="D26" s="8">
        <v>6.23</v>
      </c>
      <c r="E26" s="12">
        <v>13</v>
      </c>
      <c r="F26" s="8">
        <v>8.9700000000000006</v>
      </c>
      <c r="G26" s="12">
        <v>3</v>
      </c>
      <c r="H26" s="8">
        <v>2.8</v>
      </c>
      <c r="I26" s="12">
        <v>0</v>
      </c>
    </row>
    <row r="27" spans="2:9" ht="15" customHeight="1" x14ac:dyDescent="0.2">
      <c r="B27" t="s">
        <v>123</v>
      </c>
      <c r="C27" s="12">
        <v>15</v>
      </c>
      <c r="D27" s="8">
        <v>5.84</v>
      </c>
      <c r="E27" s="12">
        <v>15</v>
      </c>
      <c r="F27" s="8">
        <v>10.34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107</v>
      </c>
      <c r="C28" s="12">
        <v>13</v>
      </c>
      <c r="D28" s="8">
        <v>5.0599999999999996</v>
      </c>
      <c r="E28" s="12">
        <v>8</v>
      </c>
      <c r="F28" s="8">
        <v>5.52</v>
      </c>
      <c r="G28" s="12">
        <v>5</v>
      </c>
      <c r="H28" s="8">
        <v>4.67</v>
      </c>
      <c r="I28" s="12">
        <v>0</v>
      </c>
    </row>
    <row r="29" spans="2:9" ht="15" customHeight="1" x14ac:dyDescent="0.2">
      <c r="B29" t="s">
        <v>100</v>
      </c>
      <c r="C29" s="12">
        <v>11</v>
      </c>
      <c r="D29" s="8">
        <v>4.28</v>
      </c>
      <c r="E29" s="12">
        <v>4</v>
      </c>
      <c r="F29" s="8">
        <v>2.76</v>
      </c>
      <c r="G29" s="12">
        <v>7</v>
      </c>
      <c r="H29" s="8">
        <v>6.54</v>
      </c>
      <c r="I29" s="12">
        <v>0</v>
      </c>
    </row>
    <row r="30" spans="2:9" ht="15" customHeight="1" x14ac:dyDescent="0.2">
      <c r="B30" t="s">
        <v>106</v>
      </c>
      <c r="C30" s="12">
        <v>11</v>
      </c>
      <c r="D30" s="8">
        <v>4.28</v>
      </c>
      <c r="E30" s="12">
        <v>11</v>
      </c>
      <c r="F30" s="8">
        <v>7.59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114</v>
      </c>
      <c r="C31" s="12">
        <v>10</v>
      </c>
      <c r="D31" s="8">
        <v>3.89</v>
      </c>
      <c r="E31" s="12">
        <v>10</v>
      </c>
      <c r="F31" s="8">
        <v>6.9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115</v>
      </c>
      <c r="C32" s="12">
        <v>10</v>
      </c>
      <c r="D32" s="8">
        <v>3.89</v>
      </c>
      <c r="E32" s="12">
        <v>8</v>
      </c>
      <c r="F32" s="8">
        <v>5.52</v>
      </c>
      <c r="G32" s="12">
        <v>2</v>
      </c>
      <c r="H32" s="8">
        <v>1.87</v>
      </c>
      <c r="I32" s="12">
        <v>0</v>
      </c>
    </row>
    <row r="33" spans="2:9" ht="15" customHeight="1" x14ac:dyDescent="0.2">
      <c r="B33" t="s">
        <v>99</v>
      </c>
      <c r="C33" s="12">
        <v>9</v>
      </c>
      <c r="D33" s="8">
        <v>3.5</v>
      </c>
      <c r="E33" s="12">
        <v>5</v>
      </c>
      <c r="F33" s="8">
        <v>3.45</v>
      </c>
      <c r="G33" s="12">
        <v>4</v>
      </c>
      <c r="H33" s="8">
        <v>3.74</v>
      </c>
      <c r="I33" s="12">
        <v>0</v>
      </c>
    </row>
    <row r="34" spans="2:9" ht="15" customHeight="1" x14ac:dyDescent="0.2">
      <c r="B34" t="s">
        <v>112</v>
      </c>
      <c r="C34" s="12">
        <v>9</v>
      </c>
      <c r="D34" s="8">
        <v>3.5</v>
      </c>
      <c r="E34" s="12">
        <v>9</v>
      </c>
      <c r="F34" s="8">
        <v>6.21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137</v>
      </c>
      <c r="C35" s="12">
        <v>7</v>
      </c>
      <c r="D35" s="8">
        <v>2.72</v>
      </c>
      <c r="E35" s="12">
        <v>2</v>
      </c>
      <c r="F35" s="8">
        <v>1.38</v>
      </c>
      <c r="G35" s="12">
        <v>5</v>
      </c>
      <c r="H35" s="8">
        <v>4.67</v>
      </c>
      <c r="I35" s="12">
        <v>0</v>
      </c>
    </row>
    <row r="36" spans="2:9" ht="15" customHeight="1" x14ac:dyDescent="0.2">
      <c r="B36" t="s">
        <v>116</v>
      </c>
      <c r="C36" s="12">
        <v>7</v>
      </c>
      <c r="D36" s="8">
        <v>2.72</v>
      </c>
      <c r="E36" s="12">
        <v>0</v>
      </c>
      <c r="F36" s="8">
        <v>0</v>
      </c>
      <c r="G36" s="12">
        <v>6</v>
      </c>
      <c r="H36" s="8">
        <v>5.61</v>
      </c>
      <c r="I36" s="12">
        <v>0</v>
      </c>
    </row>
    <row r="37" spans="2:9" ht="15" customHeight="1" x14ac:dyDescent="0.2">
      <c r="B37" t="s">
        <v>102</v>
      </c>
      <c r="C37" s="12">
        <v>6</v>
      </c>
      <c r="D37" s="8">
        <v>2.33</v>
      </c>
      <c r="E37" s="12">
        <v>1</v>
      </c>
      <c r="F37" s="8">
        <v>0.69</v>
      </c>
      <c r="G37" s="12">
        <v>5</v>
      </c>
      <c r="H37" s="8">
        <v>4.67</v>
      </c>
      <c r="I37" s="12">
        <v>0</v>
      </c>
    </row>
    <row r="38" spans="2:9" ht="15" customHeight="1" x14ac:dyDescent="0.2">
      <c r="B38" t="s">
        <v>103</v>
      </c>
      <c r="C38" s="12">
        <v>6</v>
      </c>
      <c r="D38" s="8">
        <v>2.33</v>
      </c>
      <c r="E38" s="12">
        <v>2</v>
      </c>
      <c r="F38" s="8">
        <v>1.38</v>
      </c>
      <c r="G38" s="12">
        <v>4</v>
      </c>
      <c r="H38" s="8">
        <v>3.74</v>
      </c>
      <c r="I38" s="12">
        <v>0</v>
      </c>
    </row>
    <row r="39" spans="2:9" ht="15" customHeight="1" x14ac:dyDescent="0.2">
      <c r="B39" t="s">
        <v>119</v>
      </c>
      <c r="C39" s="12">
        <v>5</v>
      </c>
      <c r="D39" s="8">
        <v>1.95</v>
      </c>
      <c r="E39" s="12">
        <v>0</v>
      </c>
      <c r="F39" s="8">
        <v>0</v>
      </c>
      <c r="G39" s="12">
        <v>5</v>
      </c>
      <c r="H39" s="8">
        <v>4.67</v>
      </c>
      <c r="I39" s="12">
        <v>0</v>
      </c>
    </row>
    <row r="40" spans="2:9" ht="15" customHeight="1" x14ac:dyDescent="0.2">
      <c r="B40" t="s">
        <v>124</v>
      </c>
      <c r="C40" s="12">
        <v>5</v>
      </c>
      <c r="D40" s="8">
        <v>1.95</v>
      </c>
      <c r="E40" s="12">
        <v>1</v>
      </c>
      <c r="F40" s="8">
        <v>0.69</v>
      </c>
      <c r="G40" s="12">
        <v>4</v>
      </c>
      <c r="H40" s="8">
        <v>3.74</v>
      </c>
      <c r="I40" s="12">
        <v>0</v>
      </c>
    </row>
    <row r="41" spans="2:9" ht="15" customHeight="1" x14ac:dyDescent="0.2">
      <c r="B41" t="s">
        <v>118</v>
      </c>
      <c r="C41" s="12">
        <v>5</v>
      </c>
      <c r="D41" s="8">
        <v>1.95</v>
      </c>
      <c r="E41" s="12">
        <v>4</v>
      </c>
      <c r="F41" s="8">
        <v>2.76</v>
      </c>
      <c r="G41" s="12">
        <v>1</v>
      </c>
      <c r="H41" s="8">
        <v>0.93</v>
      </c>
      <c r="I41" s="12">
        <v>0</v>
      </c>
    </row>
    <row r="42" spans="2:9" ht="15" customHeight="1" x14ac:dyDescent="0.2">
      <c r="B42" t="s">
        <v>129</v>
      </c>
      <c r="C42" s="12">
        <v>4</v>
      </c>
      <c r="D42" s="8">
        <v>1.56</v>
      </c>
      <c r="E42" s="12">
        <v>0</v>
      </c>
      <c r="F42" s="8">
        <v>0</v>
      </c>
      <c r="G42" s="12">
        <v>4</v>
      </c>
      <c r="H42" s="8">
        <v>3.74</v>
      </c>
      <c r="I42" s="12">
        <v>0</v>
      </c>
    </row>
    <row r="43" spans="2:9" ht="15" customHeight="1" x14ac:dyDescent="0.2">
      <c r="B43" t="s">
        <v>108</v>
      </c>
      <c r="C43" s="12">
        <v>4</v>
      </c>
      <c r="D43" s="8">
        <v>1.56</v>
      </c>
      <c r="E43" s="12">
        <v>1</v>
      </c>
      <c r="F43" s="8">
        <v>0.69</v>
      </c>
      <c r="G43" s="12">
        <v>3</v>
      </c>
      <c r="H43" s="8">
        <v>2.8</v>
      </c>
      <c r="I43" s="12">
        <v>0</v>
      </c>
    </row>
    <row r="44" spans="2:9" ht="15" customHeight="1" x14ac:dyDescent="0.2">
      <c r="B44" t="s">
        <v>149</v>
      </c>
      <c r="C44" s="12">
        <v>4</v>
      </c>
      <c r="D44" s="8">
        <v>1.56</v>
      </c>
      <c r="E44" s="12">
        <v>0</v>
      </c>
      <c r="F44" s="8">
        <v>0</v>
      </c>
      <c r="G44" s="12">
        <v>0</v>
      </c>
      <c r="H44" s="8">
        <v>0</v>
      </c>
      <c r="I44" s="12">
        <v>4</v>
      </c>
    </row>
    <row r="47" spans="2:9" ht="33" customHeight="1" x14ac:dyDescent="0.2">
      <c r="B47" t="s">
        <v>287</v>
      </c>
      <c r="C47" s="10" t="s">
        <v>91</v>
      </c>
      <c r="D47" s="10" t="s">
        <v>92</v>
      </c>
      <c r="E47" s="10" t="s">
        <v>93</v>
      </c>
      <c r="F47" s="10" t="s">
        <v>94</v>
      </c>
      <c r="G47" s="10" t="s">
        <v>95</v>
      </c>
      <c r="H47" s="10" t="s">
        <v>96</v>
      </c>
      <c r="I47" s="10" t="s">
        <v>97</v>
      </c>
    </row>
    <row r="48" spans="2:9" ht="15" customHeight="1" x14ac:dyDescent="0.2">
      <c r="B48" t="s">
        <v>173</v>
      </c>
      <c r="C48" s="12">
        <v>15</v>
      </c>
      <c r="D48" s="8">
        <v>5.84</v>
      </c>
      <c r="E48" s="12">
        <v>15</v>
      </c>
      <c r="F48" s="8">
        <v>10.34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170</v>
      </c>
      <c r="C49" s="12">
        <v>13</v>
      </c>
      <c r="D49" s="8">
        <v>5.0599999999999996</v>
      </c>
      <c r="E49" s="12">
        <v>13</v>
      </c>
      <c r="F49" s="8">
        <v>8.9700000000000006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154</v>
      </c>
      <c r="C50" s="12">
        <v>11</v>
      </c>
      <c r="D50" s="8">
        <v>4.28</v>
      </c>
      <c r="E50" s="12">
        <v>3</v>
      </c>
      <c r="F50" s="8">
        <v>2.0699999999999998</v>
      </c>
      <c r="G50" s="12">
        <v>8</v>
      </c>
      <c r="H50" s="8">
        <v>7.48</v>
      </c>
      <c r="I50" s="12">
        <v>0</v>
      </c>
    </row>
    <row r="51" spans="2:9" ht="15" customHeight="1" x14ac:dyDescent="0.2">
      <c r="B51" t="s">
        <v>186</v>
      </c>
      <c r="C51" s="12">
        <v>9</v>
      </c>
      <c r="D51" s="8">
        <v>3.5</v>
      </c>
      <c r="E51" s="12">
        <v>8</v>
      </c>
      <c r="F51" s="8">
        <v>5.52</v>
      </c>
      <c r="G51" s="12">
        <v>1</v>
      </c>
      <c r="H51" s="8">
        <v>0.93</v>
      </c>
      <c r="I51" s="12">
        <v>0</v>
      </c>
    </row>
    <row r="52" spans="2:9" ht="15" customHeight="1" x14ac:dyDescent="0.2">
      <c r="B52" t="s">
        <v>159</v>
      </c>
      <c r="C52" s="12">
        <v>9</v>
      </c>
      <c r="D52" s="8">
        <v>3.5</v>
      </c>
      <c r="E52" s="12">
        <v>9</v>
      </c>
      <c r="F52" s="8">
        <v>6.21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171</v>
      </c>
      <c r="C53" s="12">
        <v>8</v>
      </c>
      <c r="D53" s="8">
        <v>3.11</v>
      </c>
      <c r="E53" s="12">
        <v>8</v>
      </c>
      <c r="F53" s="8">
        <v>5.52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156</v>
      </c>
      <c r="C54" s="12">
        <v>7</v>
      </c>
      <c r="D54" s="8">
        <v>2.72</v>
      </c>
      <c r="E54" s="12">
        <v>2</v>
      </c>
      <c r="F54" s="8">
        <v>1.38</v>
      </c>
      <c r="G54" s="12">
        <v>5</v>
      </c>
      <c r="H54" s="8">
        <v>4.67</v>
      </c>
      <c r="I54" s="12">
        <v>0</v>
      </c>
    </row>
    <row r="55" spans="2:9" ht="15" customHeight="1" x14ac:dyDescent="0.2">
      <c r="B55" t="s">
        <v>185</v>
      </c>
      <c r="C55" s="12">
        <v>6</v>
      </c>
      <c r="D55" s="8">
        <v>2.33</v>
      </c>
      <c r="E55" s="12">
        <v>2</v>
      </c>
      <c r="F55" s="8">
        <v>1.38</v>
      </c>
      <c r="G55" s="12">
        <v>4</v>
      </c>
      <c r="H55" s="8">
        <v>3.74</v>
      </c>
      <c r="I55" s="12">
        <v>0</v>
      </c>
    </row>
    <row r="56" spans="2:9" ht="15" customHeight="1" x14ac:dyDescent="0.2">
      <c r="B56" t="s">
        <v>181</v>
      </c>
      <c r="C56" s="12">
        <v>6</v>
      </c>
      <c r="D56" s="8">
        <v>2.33</v>
      </c>
      <c r="E56" s="12">
        <v>5</v>
      </c>
      <c r="F56" s="8">
        <v>3.45</v>
      </c>
      <c r="G56" s="12">
        <v>1</v>
      </c>
      <c r="H56" s="8">
        <v>0.93</v>
      </c>
      <c r="I56" s="12">
        <v>0</v>
      </c>
    </row>
    <row r="57" spans="2:9" ht="15" customHeight="1" x14ac:dyDescent="0.2">
      <c r="B57" t="s">
        <v>172</v>
      </c>
      <c r="C57" s="12">
        <v>6</v>
      </c>
      <c r="D57" s="8">
        <v>2.33</v>
      </c>
      <c r="E57" s="12">
        <v>4</v>
      </c>
      <c r="F57" s="8">
        <v>2.76</v>
      </c>
      <c r="G57" s="12">
        <v>2</v>
      </c>
      <c r="H57" s="8">
        <v>1.87</v>
      </c>
      <c r="I57" s="12">
        <v>0</v>
      </c>
    </row>
    <row r="58" spans="2:9" ht="15" customHeight="1" x14ac:dyDescent="0.2">
      <c r="B58" t="s">
        <v>155</v>
      </c>
      <c r="C58" s="12">
        <v>5</v>
      </c>
      <c r="D58" s="8">
        <v>1.95</v>
      </c>
      <c r="E58" s="12">
        <v>0</v>
      </c>
      <c r="F58" s="8">
        <v>0</v>
      </c>
      <c r="G58" s="12">
        <v>5</v>
      </c>
      <c r="H58" s="8">
        <v>4.67</v>
      </c>
      <c r="I58" s="12">
        <v>0</v>
      </c>
    </row>
    <row r="59" spans="2:9" ht="15" customHeight="1" x14ac:dyDescent="0.2">
      <c r="B59" t="s">
        <v>224</v>
      </c>
      <c r="C59" s="12">
        <v>5</v>
      </c>
      <c r="D59" s="8">
        <v>1.95</v>
      </c>
      <c r="E59" s="12">
        <v>1</v>
      </c>
      <c r="F59" s="8">
        <v>0.69</v>
      </c>
      <c r="G59" s="12">
        <v>4</v>
      </c>
      <c r="H59" s="8">
        <v>3.74</v>
      </c>
      <c r="I59" s="12">
        <v>0</v>
      </c>
    </row>
    <row r="60" spans="2:9" ht="15" customHeight="1" x14ac:dyDescent="0.2">
      <c r="B60" t="s">
        <v>182</v>
      </c>
      <c r="C60" s="12">
        <v>5</v>
      </c>
      <c r="D60" s="8">
        <v>1.95</v>
      </c>
      <c r="E60" s="12">
        <v>2</v>
      </c>
      <c r="F60" s="8">
        <v>1.38</v>
      </c>
      <c r="G60" s="12">
        <v>3</v>
      </c>
      <c r="H60" s="8">
        <v>2.8</v>
      </c>
      <c r="I60" s="12">
        <v>0</v>
      </c>
    </row>
    <row r="61" spans="2:9" ht="15" customHeight="1" x14ac:dyDescent="0.2">
      <c r="B61" t="s">
        <v>169</v>
      </c>
      <c r="C61" s="12">
        <v>5</v>
      </c>
      <c r="D61" s="8">
        <v>1.95</v>
      </c>
      <c r="E61" s="12">
        <v>4</v>
      </c>
      <c r="F61" s="8">
        <v>2.76</v>
      </c>
      <c r="G61" s="12">
        <v>1</v>
      </c>
      <c r="H61" s="8">
        <v>0.93</v>
      </c>
      <c r="I61" s="12">
        <v>0</v>
      </c>
    </row>
    <row r="62" spans="2:9" ht="15" customHeight="1" x14ac:dyDescent="0.2">
      <c r="B62" t="s">
        <v>174</v>
      </c>
      <c r="C62" s="12">
        <v>4</v>
      </c>
      <c r="D62" s="8">
        <v>1.56</v>
      </c>
      <c r="E62" s="12">
        <v>2</v>
      </c>
      <c r="F62" s="8">
        <v>1.38</v>
      </c>
      <c r="G62" s="12">
        <v>2</v>
      </c>
      <c r="H62" s="8">
        <v>1.87</v>
      </c>
      <c r="I62" s="12">
        <v>0</v>
      </c>
    </row>
    <row r="63" spans="2:9" ht="15" customHeight="1" x14ac:dyDescent="0.2">
      <c r="B63" t="s">
        <v>160</v>
      </c>
      <c r="C63" s="12">
        <v>4</v>
      </c>
      <c r="D63" s="8">
        <v>1.56</v>
      </c>
      <c r="E63" s="12">
        <v>1</v>
      </c>
      <c r="F63" s="8">
        <v>0.69</v>
      </c>
      <c r="G63" s="12">
        <v>3</v>
      </c>
      <c r="H63" s="8">
        <v>2.8</v>
      </c>
      <c r="I63" s="12">
        <v>0</v>
      </c>
    </row>
    <row r="64" spans="2:9" ht="15" customHeight="1" x14ac:dyDescent="0.2">
      <c r="B64" t="s">
        <v>167</v>
      </c>
      <c r="C64" s="12">
        <v>4</v>
      </c>
      <c r="D64" s="8">
        <v>1.56</v>
      </c>
      <c r="E64" s="12">
        <v>4</v>
      </c>
      <c r="F64" s="8">
        <v>2.76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222</v>
      </c>
      <c r="C65" s="12">
        <v>4</v>
      </c>
      <c r="D65" s="8">
        <v>1.56</v>
      </c>
      <c r="E65" s="12">
        <v>4</v>
      </c>
      <c r="F65" s="8">
        <v>2.76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263</v>
      </c>
      <c r="C66" s="12">
        <v>4</v>
      </c>
      <c r="D66" s="8">
        <v>1.56</v>
      </c>
      <c r="E66" s="12">
        <v>0</v>
      </c>
      <c r="F66" s="8">
        <v>0</v>
      </c>
      <c r="G66" s="12">
        <v>0</v>
      </c>
      <c r="H66" s="8">
        <v>0</v>
      </c>
      <c r="I66" s="12">
        <v>4</v>
      </c>
    </row>
    <row r="67" spans="2:9" ht="15" customHeight="1" x14ac:dyDescent="0.2">
      <c r="B67" t="s">
        <v>233</v>
      </c>
      <c r="C67" s="12">
        <v>3</v>
      </c>
      <c r="D67" s="8">
        <v>1.17</v>
      </c>
      <c r="E67" s="12">
        <v>0</v>
      </c>
      <c r="F67" s="8">
        <v>0</v>
      </c>
      <c r="G67" s="12">
        <v>3</v>
      </c>
      <c r="H67" s="8">
        <v>2.8</v>
      </c>
      <c r="I67" s="12">
        <v>0</v>
      </c>
    </row>
    <row r="68" spans="2:9" ht="15" customHeight="1" x14ac:dyDescent="0.2">
      <c r="B68" t="s">
        <v>249</v>
      </c>
      <c r="C68" s="12">
        <v>3</v>
      </c>
      <c r="D68" s="8">
        <v>1.17</v>
      </c>
      <c r="E68" s="12">
        <v>1</v>
      </c>
      <c r="F68" s="8">
        <v>0.69</v>
      </c>
      <c r="G68" s="12">
        <v>2</v>
      </c>
      <c r="H68" s="8">
        <v>1.87</v>
      </c>
      <c r="I68" s="12">
        <v>0</v>
      </c>
    </row>
    <row r="69" spans="2:9" ht="15" customHeight="1" x14ac:dyDescent="0.2">
      <c r="B69" t="s">
        <v>180</v>
      </c>
      <c r="C69" s="12">
        <v>3</v>
      </c>
      <c r="D69" s="8">
        <v>1.17</v>
      </c>
      <c r="E69" s="12">
        <v>0</v>
      </c>
      <c r="F69" s="8">
        <v>0</v>
      </c>
      <c r="G69" s="12">
        <v>3</v>
      </c>
      <c r="H69" s="8">
        <v>2.8</v>
      </c>
      <c r="I69" s="12">
        <v>0</v>
      </c>
    </row>
    <row r="70" spans="2:9" ht="15" customHeight="1" x14ac:dyDescent="0.2">
      <c r="B70" t="s">
        <v>251</v>
      </c>
      <c r="C70" s="12">
        <v>3</v>
      </c>
      <c r="D70" s="8">
        <v>1.17</v>
      </c>
      <c r="E70" s="12">
        <v>1</v>
      </c>
      <c r="F70" s="8">
        <v>0.69</v>
      </c>
      <c r="G70" s="12">
        <v>2</v>
      </c>
      <c r="H70" s="8">
        <v>1.87</v>
      </c>
      <c r="I70" s="12">
        <v>0</v>
      </c>
    </row>
    <row r="71" spans="2:9" ht="15" customHeight="1" x14ac:dyDescent="0.2">
      <c r="B71" t="s">
        <v>184</v>
      </c>
      <c r="C71" s="12">
        <v>3</v>
      </c>
      <c r="D71" s="8">
        <v>1.17</v>
      </c>
      <c r="E71" s="12">
        <v>1</v>
      </c>
      <c r="F71" s="8">
        <v>0.69</v>
      </c>
      <c r="G71" s="12">
        <v>2</v>
      </c>
      <c r="H71" s="8">
        <v>1.87</v>
      </c>
      <c r="I71" s="12">
        <v>0</v>
      </c>
    </row>
    <row r="72" spans="2:9" ht="15" customHeight="1" x14ac:dyDescent="0.2">
      <c r="B72" t="s">
        <v>261</v>
      </c>
      <c r="C72" s="12">
        <v>3</v>
      </c>
      <c r="D72" s="8">
        <v>1.17</v>
      </c>
      <c r="E72" s="12">
        <v>0</v>
      </c>
      <c r="F72" s="8">
        <v>0</v>
      </c>
      <c r="G72" s="12">
        <v>3</v>
      </c>
      <c r="H72" s="8">
        <v>2.8</v>
      </c>
      <c r="I72" s="12">
        <v>0</v>
      </c>
    </row>
    <row r="73" spans="2:9" ht="15" customHeight="1" x14ac:dyDescent="0.2">
      <c r="B73" t="s">
        <v>262</v>
      </c>
      <c r="C73" s="12">
        <v>3</v>
      </c>
      <c r="D73" s="8">
        <v>1.17</v>
      </c>
      <c r="E73" s="12">
        <v>2</v>
      </c>
      <c r="F73" s="8">
        <v>1.38</v>
      </c>
      <c r="G73" s="12">
        <v>1</v>
      </c>
      <c r="H73" s="8">
        <v>0.93</v>
      </c>
      <c r="I73" s="12">
        <v>0</v>
      </c>
    </row>
    <row r="74" spans="2:9" ht="15" customHeight="1" x14ac:dyDescent="0.2">
      <c r="B74" t="s">
        <v>158</v>
      </c>
      <c r="C74" s="12">
        <v>3</v>
      </c>
      <c r="D74" s="8">
        <v>1.17</v>
      </c>
      <c r="E74" s="12">
        <v>3</v>
      </c>
      <c r="F74" s="8">
        <v>2.0699999999999998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161</v>
      </c>
      <c r="C75" s="12">
        <v>3</v>
      </c>
      <c r="D75" s="8">
        <v>1.17</v>
      </c>
      <c r="E75" s="12">
        <v>3</v>
      </c>
      <c r="F75" s="8">
        <v>2.0699999999999998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164</v>
      </c>
      <c r="C76" s="12">
        <v>3</v>
      </c>
      <c r="D76" s="8">
        <v>1.17</v>
      </c>
      <c r="E76" s="12">
        <v>1</v>
      </c>
      <c r="F76" s="8">
        <v>0.69</v>
      </c>
      <c r="G76" s="12">
        <v>2</v>
      </c>
      <c r="H76" s="8">
        <v>1.87</v>
      </c>
      <c r="I76" s="12">
        <v>0</v>
      </c>
    </row>
    <row r="77" spans="2:9" ht="15" customHeight="1" x14ac:dyDescent="0.2">
      <c r="B77" t="s">
        <v>201</v>
      </c>
      <c r="C77" s="12">
        <v>3</v>
      </c>
      <c r="D77" s="8">
        <v>1.17</v>
      </c>
      <c r="E77" s="12">
        <v>3</v>
      </c>
      <c r="F77" s="8">
        <v>2.0699999999999998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183</v>
      </c>
      <c r="C78" s="12">
        <v>3</v>
      </c>
      <c r="D78" s="8">
        <v>1.17</v>
      </c>
      <c r="E78" s="12">
        <v>3</v>
      </c>
      <c r="F78" s="8">
        <v>2.0699999999999998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226</v>
      </c>
      <c r="C79" s="12">
        <v>3</v>
      </c>
      <c r="D79" s="8">
        <v>1.17</v>
      </c>
      <c r="E79" s="12">
        <v>0</v>
      </c>
      <c r="F79" s="8">
        <v>0</v>
      </c>
      <c r="G79" s="12">
        <v>2</v>
      </c>
      <c r="H79" s="8">
        <v>1.87</v>
      </c>
      <c r="I79" s="12">
        <v>0</v>
      </c>
    </row>
    <row r="80" spans="2:9" ht="15" customHeight="1" x14ac:dyDescent="0.2">
      <c r="B80" t="s">
        <v>204</v>
      </c>
      <c r="C80" s="12">
        <v>3</v>
      </c>
      <c r="D80" s="8">
        <v>1.17</v>
      </c>
      <c r="E80" s="12">
        <v>0</v>
      </c>
      <c r="F80" s="8">
        <v>0</v>
      </c>
      <c r="G80" s="12">
        <v>3</v>
      </c>
      <c r="H80" s="8">
        <v>2.8</v>
      </c>
      <c r="I80" s="12">
        <v>0</v>
      </c>
    </row>
    <row r="82" spans="2:2" ht="15" customHeight="1" x14ac:dyDescent="0.2">
      <c r="B82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A3BCE-D779-483A-B449-93359B0DAB09}">
  <sheetPr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349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42</v>
      </c>
      <c r="D6" s="8">
        <v>13.33</v>
      </c>
      <c r="E6" s="12">
        <v>25</v>
      </c>
      <c r="F6" s="8">
        <v>12.02</v>
      </c>
      <c r="G6" s="12">
        <v>17</v>
      </c>
      <c r="H6" s="8">
        <v>16.670000000000002</v>
      </c>
      <c r="I6" s="12">
        <v>0</v>
      </c>
    </row>
    <row r="7" spans="2:9" ht="15" customHeight="1" x14ac:dyDescent="0.2">
      <c r="B7" t="s">
        <v>77</v>
      </c>
      <c r="C7" s="12">
        <v>53</v>
      </c>
      <c r="D7" s="8">
        <v>16.829999999999998</v>
      </c>
      <c r="E7" s="12">
        <v>30</v>
      </c>
      <c r="F7" s="8">
        <v>14.42</v>
      </c>
      <c r="G7" s="12">
        <v>23</v>
      </c>
      <c r="H7" s="8">
        <v>22.55</v>
      </c>
      <c r="I7" s="12">
        <v>0</v>
      </c>
    </row>
    <row r="8" spans="2:9" ht="15" customHeight="1" x14ac:dyDescent="0.2">
      <c r="B8" t="s">
        <v>78</v>
      </c>
      <c r="C8" s="12">
        <v>3</v>
      </c>
      <c r="D8" s="8">
        <v>0.95</v>
      </c>
      <c r="E8" s="12">
        <v>0</v>
      </c>
      <c r="F8" s="8">
        <v>0</v>
      </c>
      <c r="G8" s="12">
        <v>2</v>
      </c>
      <c r="H8" s="8">
        <v>1.96</v>
      </c>
      <c r="I8" s="12">
        <v>0</v>
      </c>
    </row>
    <row r="9" spans="2:9" ht="15" customHeight="1" x14ac:dyDescent="0.2">
      <c r="B9" t="s">
        <v>79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80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81</v>
      </c>
      <c r="C11" s="12">
        <v>89</v>
      </c>
      <c r="D11" s="8">
        <v>28.25</v>
      </c>
      <c r="E11" s="12">
        <v>60</v>
      </c>
      <c r="F11" s="8">
        <v>28.85</v>
      </c>
      <c r="G11" s="12">
        <v>29</v>
      </c>
      <c r="H11" s="8">
        <v>28.43</v>
      </c>
      <c r="I11" s="12">
        <v>0</v>
      </c>
    </row>
    <row r="12" spans="2:9" ht="15" customHeight="1" x14ac:dyDescent="0.2">
      <c r="B12" t="s">
        <v>82</v>
      </c>
      <c r="C12" s="12">
        <v>2</v>
      </c>
      <c r="D12" s="8">
        <v>0.63</v>
      </c>
      <c r="E12" s="12">
        <v>0</v>
      </c>
      <c r="F12" s="8">
        <v>0</v>
      </c>
      <c r="G12" s="12">
        <v>2</v>
      </c>
      <c r="H12" s="8">
        <v>1.96</v>
      </c>
      <c r="I12" s="12">
        <v>0</v>
      </c>
    </row>
    <row r="13" spans="2:9" ht="15" customHeight="1" x14ac:dyDescent="0.2">
      <c r="B13" t="s">
        <v>83</v>
      </c>
      <c r="C13" s="12">
        <v>29</v>
      </c>
      <c r="D13" s="8">
        <v>9.2100000000000009</v>
      </c>
      <c r="E13" s="12">
        <v>20</v>
      </c>
      <c r="F13" s="8">
        <v>9.6199999999999992</v>
      </c>
      <c r="G13" s="12">
        <v>9</v>
      </c>
      <c r="H13" s="8">
        <v>8.82</v>
      </c>
      <c r="I13" s="12">
        <v>0</v>
      </c>
    </row>
    <row r="14" spans="2:9" ht="15" customHeight="1" x14ac:dyDescent="0.2">
      <c r="B14" t="s">
        <v>84</v>
      </c>
      <c r="C14" s="12">
        <v>9</v>
      </c>
      <c r="D14" s="8">
        <v>2.86</v>
      </c>
      <c r="E14" s="12">
        <v>8</v>
      </c>
      <c r="F14" s="8">
        <v>3.85</v>
      </c>
      <c r="G14" s="12">
        <v>1</v>
      </c>
      <c r="H14" s="8">
        <v>0.98</v>
      </c>
      <c r="I14" s="12">
        <v>0</v>
      </c>
    </row>
    <row r="15" spans="2:9" ht="15" customHeight="1" x14ac:dyDescent="0.2">
      <c r="B15" t="s">
        <v>85</v>
      </c>
      <c r="C15" s="12">
        <v>12</v>
      </c>
      <c r="D15" s="8">
        <v>3.81</v>
      </c>
      <c r="E15" s="12">
        <v>10</v>
      </c>
      <c r="F15" s="8">
        <v>4.8099999999999996</v>
      </c>
      <c r="G15" s="12">
        <v>2</v>
      </c>
      <c r="H15" s="8">
        <v>1.96</v>
      </c>
      <c r="I15" s="12">
        <v>0</v>
      </c>
    </row>
    <row r="16" spans="2:9" ht="15" customHeight="1" x14ac:dyDescent="0.2">
      <c r="B16" t="s">
        <v>86</v>
      </c>
      <c r="C16" s="12">
        <v>33</v>
      </c>
      <c r="D16" s="8">
        <v>10.48</v>
      </c>
      <c r="E16" s="12">
        <v>27</v>
      </c>
      <c r="F16" s="8">
        <v>12.98</v>
      </c>
      <c r="G16" s="12">
        <v>5</v>
      </c>
      <c r="H16" s="8">
        <v>4.9000000000000004</v>
      </c>
      <c r="I16" s="12">
        <v>0</v>
      </c>
    </row>
    <row r="17" spans="2:9" ht="15" customHeight="1" x14ac:dyDescent="0.2">
      <c r="B17" t="s">
        <v>87</v>
      </c>
      <c r="C17" s="12">
        <v>15</v>
      </c>
      <c r="D17" s="8">
        <v>4.76</v>
      </c>
      <c r="E17" s="12">
        <v>10</v>
      </c>
      <c r="F17" s="8">
        <v>4.8099999999999996</v>
      </c>
      <c r="G17" s="12">
        <v>5</v>
      </c>
      <c r="H17" s="8">
        <v>4.9000000000000004</v>
      </c>
      <c r="I17" s="12">
        <v>0</v>
      </c>
    </row>
    <row r="18" spans="2:9" ht="15" customHeight="1" x14ac:dyDescent="0.2">
      <c r="B18" t="s">
        <v>88</v>
      </c>
      <c r="C18" s="12">
        <v>13</v>
      </c>
      <c r="D18" s="8">
        <v>4.13</v>
      </c>
      <c r="E18" s="12">
        <v>8</v>
      </c>
      <c r="F18" s="8">
        <v>3.85</v>
      </c>
      <c r="G18" s="12">
        <v>5</v>
      </c>
      <c r="H18" s="8">
        <v>4.9000000000000004</v>
      </c>
      <c r="I18" s="12">
        <v>0</v>
      </c>
    </row>
    <row r="19" spans="2:9" ht="15" customHeight="1" x14ac:dyDescent="0.2">
      <c r="B19" t="s">
        <v>89</v>
      </c>
      <c r="C19" s="12">
        <v>15</v>
      </c>
      <c r="D19" s="8">
        <v>4.76</v>
      </c>
      <c r="E19" s="12">
        <v>10</v>
      </c>
      <c r="F19" s="8">
        <v>4.8099999999999996</v>
      </c>
      <c r="G19" s="12">
        <v>2</v>
      </c>
      <c r="H19" s="8">
        <v>1.96</v>
      </c>
      <c r="I19" s="12">
        <v>0</v>
      </c>
    </row>
    <row r="20" spans="2:9" ht="15" customHeight="1" x14ac:dyDescent="0.2">
      <c r="B20" s="9" t="s">
        <v>285</v>
      </c>
      <c r="C20" s="12">
        <f>SUM(LTBL_40522[総数／事業所数])</f>
        <v>315</v>
      </c>
      <c r="E20" s="12">
        <f>SUBTOTAL(109,LTBL_40522[個人／事業所数])</f>
        <v>208</v>
      </c>
      <c r="G20" s="12">
        <f>SUBTOTAL(109,LTBL_40522[法人／事業所数])</f>
        <v>102</v>
      </c>
      <c r="I20" s="12">
        <f>SUBTOTAL(109,LTBL_40522[法人以外の団体／事業所数])</f>
        <v>0</v>
      </c>
    </row>
    <row r="21" spans="2:9" ht="15" customHeight="1" x14ac:dyDescent="0.2">
      <c r="E21" s="11">
        <f>LTBL_40522[[#Totals],[個人／事業所数]]/LTBL_40522[[#Totals],[総数／事業所数]]</f>
        <v>0.6603174603174603</v>
      </c>
      <c r="G21" s="11">
        <f>LTBL_40522[[#Totals],[法人／事業所数]]/LTBL_40522[[#Totals],[総数／事業所数]]</f>
        <v>0.32380952380952382</v>
      </c>
      <c r="I21" s="11">
        <f>LTBL_40522[[#Totals],[法人以外の団体／事業所数]]/LTBL_40522[[#Totals],[総数／事業所数]]</f>
        <v>0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28</v>
      </c>
      <c r="D24" s="8">
        <v>8.89</v>
      </c>
      <c r="E24" s="12">
        <v>25</v>
      </c>
      <c r="F24" s="8">
        <v>12.02</v>
      </c>
      <c r="G24" s="12">
        <v>3</v>
      </c>
      <c r="H24" s="8">
        <v>2.94</v>
      </c>
      <c r="I24" s="12">
        <v>0</v>
      </c>
    </row>
    <row r="25" spans="2:9" ht="15" customHeight="1" x14ac:dyDescent="0.2">
      <c r="B25" t="s">
        <v>107</v>
      </c>
      <c r="C25" s="12">
        <v>25</v>
      </c>
      <c r="D25" s="8">
        <v>7.94</v>
      </c>
      <c r="E25" s="12">
        <v>16</v>
      </c>
      <c r="F25" s="8">
        <v>7.69</v>
      </c>
      <c r="G25" s="12">
        <v>9</v>
      </c>
      <c r="H25" s="8">
        <v>8.82</v>
      </c>
      <c r="I25" s="12">
        <v>0</v>
      </c>
    </row>
    <row r="26" spans="2:9" ht="15" customHeight="1" x14ac:dyDescent="0.2">
      <c r="B26" t="s">
        <v>109</v>
      </c>
      <c r="C26" s="12">
        <v>23</v>
      </c>
      <c r="D26" s="8">
        <v>7.3</v>
      </c>
      <c r="E26" s="12">
        <v>18</v>
      </c>
      <c r="F26" s="8">
        <v>8.65</v>
      </c>
      <c r="G26" s="12">
        <v>5</v>
      </c>
      <c r="H26" s="8">
        <v>4.9000000000000004</v>
      </c>
      <c r="I26" s="12">
        <v>0</v>
      </c>
    </row>
    <row r="27" spans="2:9" ht="15" customHeight="1" x14ac:dyDescent="0.2">
      <c r="B27" t="s">
        <v>106</v>
      </c>
      <c r="C27" s="12">
        <v>22</v>
      </c>
      <c r="D27" s="8">
        <v>6.98</v>
      </c>
      <c r="E27" s="12">
        <v>19</v>
      </c>
      <c r="F27" s="8">
        <v>9.1300000000000008</v>
      </c>
      <c r="G27" s="12">
        <v>3</v>
      </c>
      <c r="H27" s="8">
        <v>2.94</v>
      </c>
      <c r="I27" s="12">
        <v>0</v>
      </c>
    </row>
    <row r="28" spans="2:9" ht="15" customHeight="1" x14ac:dyDescent="0.2">
      <c r="B28" t="s">
        <v>98</v>
      </c>
      <c r="C28" s="12">
        <v>19</v>
      </c>
      <c r="D28" s="8">
        <v>6.03</v>
      </c>
      <c r="E28" s="12">
        <v>9</v>
      </c>
      <c r="F28" s="8">
        <v>4.33</v>
      </c>
      <c r="G28" s="12">
        <v>10</v>
      </c>
      <c r="H28" s="8">
        <v>9.8000000000000007</v>
      </c>
      <c r="I28" s="12">
        <v>0</v>
      </c>
    </row>
    <row r="29" spans="2:9" ht="15" customHeight="1" x14ac:dyDescent="0.2">
      <c r="B29" t="s">
        <v>99</v>
      </c>
      <c r="C29" s="12">
        <v>15</v>
      </c>
      <c r="D29" s="8">
        <v>4.76</v>
      </c>
      <c r="E29" s="12">
        <v>11</v>
      </c>
      <c r="F29" s="8">
        <v>5.29</v>
      </c>
      <c r="G29" s="12">
        <v>4</v>
      </c>
      <c r="H29" s="8">
        <v>3.92</v>
      </c>
      <c r="I29" s="12">
        <v>0</v>
      </c>
    </row>
    <row r="30" spans="2:9" ht="15" customHeight="1" x14ac:dyDescent="0.2">
      <c r="B30" t="s">
        <v>114</v>
      </c>
      <c r="C30" s="12">
        <v>15</v>
      </c>
      <c r="D30" s="8">
        <v>4.76</v>
      </c>
      <c r="E30" s="12">
        <v>10</v>
      </c>
      <c r="F30" s="8">
        <v>4.8099999999999996</v>
      </c>
      <c r="G30" s="12">
        <v>5</v>
      </c>
      <c r="H30" s="8">
        <v>4.9000000000000004</v>
      </c>
      <c r="I30" s="12">
        <v>0</v>
      </c>
    </row>
    <row r="31" spans="2:9" ht="15" customHeight="1" x14ac:dyDescent="0.2">
      <c r="B31" t="s">
        <v>132</v>
      </c>
      <c r="C31" s="12">
        <v>14</v>
      </c>
      <c r="D31" s="8">
        <v>4.4400000000000004</v>
      </c>
      <c r="E31" s="12">
        <v>13</v>
      </c>
      <c r="F31" s="8">
        <v>6.25</v>
      </c>
      <c r="G31" s="12">
        <v>1</v>
      </c>
      <c r="H31" s="8">
        <v>0.98</v>
      </c>
      <c r="I31" s="12">
        <v>0</v>
      </c>
    </row>
    <row r="32" spans="2:9" ht="15" customHeight="1" x14ac:dyDescent="0.2">
      <c r="B32" t="s">
        <v>105</v>
      </c>
      <c r="C32" s="12">
        <v>14</v>
      </c>
      <c r="D32" s="8">
        <v>4.4400000000000004</v>
      </c>
      <c r="E32" s="12">
        <v>13</v>
      </c>
      <c r="F32" s="8">
        <v>6.25</v>
      </c>
      <c r="G32" s="12">
        <v>1</v>
      </c>
      <c r="H32" s="8">
        <v>0.98</v>
      </c>
      <c r="I32" s="12">
        <v>0</v>
      </c>
    </row>
    <row r="33" spans="2:9" ht="15" customHeight="1" x14ac:dyDescent="0.2">
      <c r="B33" t="s">
        <v>112</v>
      </c>
      <c r="C33" s="12">
        <v>12</v>
      </c>
      <c r="D33" s="8">
        <v>3.81</v>
      </c>
      <c r="E33" s="12">
        <v>10</v>
      </c>
      <c r="F33" s="8">
        <v>4.8099999999999996</v>
      </c>
      <c r="G33" s="12">
        <v>2</v>
      </c>
      <c r="H33" s="8">
        <v>1.96</v>
      </c>
      <c r="I33" s="12">
        <v>0</v>
      </c>
    </row>
    <row r="34" spans="2:9" ht="15" customHeight="1" x14ac:dyDescent="0.2">
      <c r="B34" t="s">
        <v>131</v>
      </c>
      <c r="C34" s="12">
        <v>10</v>
      </c>
      <c r="D34" s="8">
        <v>3.17</v>
      </c>
      <c r="E34" s="12">
        <v>6</v>
      </c>
      <c r="F34" s="8">
        <v>2.88</v>
      </c>
      <c r="G34" s="12">
        <v>4</v>
      </c>
      <c r="H34" s="8">
        <v>3.92</v>
      </c>
      <c r="I34" s="12">
        <v>0</v>
      </c>
    </row>
    <row r="35" spans="2:9" ht="15" customHeight="1" x14ac:dyDescent="0.2">
      <c r="B35" t="s">
        <v>115</v>
      </c>
      <c r="C35" s="12">
        <v>10</v>
      </c>
      <c r="D35" s="8">
        <v>3.17</v>
      </c>
      <c r="E35" s="12">
        <v>8</v>
      </c>
      <c r="F35" s="8">
        <v>3.85</v>
      </c>
      <c r="G35" s="12">
        <v>2</v>
      </c>
      <c r="H35" s="8">
        <v>1.96</v>
      </c>
      <c r="I35" s="12">
        <v>0</v>
      </c>
    </row>
    <row r="36" spans="2:9" ht="15" customHeight="1" x14ac:dyDescent="0.2">
      <c r="B36" t="s">
        <v>100</v>
      </c>
      <c r="C36" s="12">
        <v>8</v>
      </c>
      <c r="D36" s="8">
        <v>2.54</v>
      </c>
      <c r="E36" s="12">
        <v>5</v>
      </c>
      <c r="F36" s="8">
        <v>2.4</v>
      </c>
      <c r="G36" s="12">
        <v>3</v>
      </c>
      <c r="H36" s="8">
        <v>2.94</v>
      </c>
      <c r="I36" s="12">
        <v>0</v>
      </c>
    </row>
    <row r="37" spans="2:9" ht="15" customHeight="1" x14ac:dyDescent="0.2">
      <c r="B37" t="s">
        <v>119</v>
      </c>
      <c r="C37" s="12">
        <v>8</v>
      </c>
      <c r="D37" s="8">
        <v>2.54</v>
      </c>
      <c r="E37" s="12">
        <v>2</v>
      </c>
      <c r="F37" s="8">
        <v>0.96</v>
      </c>
      <c r="G37" s="12">
        <v>6</v>
      </c>
      <c r="H37" s="8">
        <v>5.88</v>
      </c>
      <c r="I37" s="12">
        <v>0</v>
      </c>
    </row>
    <row r="38" spans="2:9" ht="15" customHeight="1" x14ac:dyDescent="0.2">
      <c r="B38" t="s">
        <v>123</v>
      </c>
      <c r="C38" s="12">
        <v>8</v>
      </c>
      <c r="D38" s="8">
        <v>2.54</v>
      </c>
      <c r="E38" s="12">
        <v>8</v>
      </c>
      <c r="F38" s="8">
        <v>3.85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104</v>
      </c>
      <c r="C39" s="12">
        <v>7</v>
      </c>
      <c r="D39" s="8">
        <v>2.2200000000000002</v>
      </c>
      <c r="E39" s="12">
        <v>5</v>
      </c>
      <c r="F39" s="8">
        <v>2.4</v>
      </c>
      <c r="G39" s="12">
        <v>2</v>
      </c>
      <c r="H39" s="8">
        <v>1.96</v>
      </c>
      <c r="I39" s="12">
        <v>0</v>
      </c>
    </row>
    <row r="40" spans="2:9" ht="15" customHeight="1" x14ac:dyDescent="0.2">
      <c r="B40" t="s">
        <v>129</v>
      </c>
      <c r="C40" s="12">
        <v>6</v>
      </c>
      <c r="D40" s="8">
        <v>1.9</v>
      </c>
      <c r="E40" s="12">
        <v>2</v>
      </c>
      <c r="F40" s="8">
        <v>0.96</v>
      </c>
      <c r="G40" s="12">
        <v>4</v>
      </c>
      <c r="H40" s="8">
        <v>3.92</v>
      </c>
      <c r="I40" s="12">
        <v>0</v>
      </c>
    </row>
    <row r="41" spans="2:9" ht="15" customHeight="1" x14ac:dyDescent="0.2">
      <c r="B41" t="s">
        <v>103</v>
      </c>
      <c r="C41" s="12">
        <v>6</v>
      </c>
      <c r="D41" s="8">
        <v>1.9</v>
      </c>
      <c r="E41" s="12">
        <v>2</v>
      </c>
      <c r="F41" s="8">
        <v>0.96</v>
      </c>
      <c r="G41" s="12">
        <v>4</v>
      </c>
      <c r="H41" s="8">
        <v>3.92</v>
      </c>
      <c r="I41" s="12">
        <v>0</v>
      </c>
    </row>
    <row r="42" spans="2:9" ht="15" customHeight="1" x14ac:dyDescent="0.2">
      <c r="B42" t="s">
        <v>110</v>
      </c>
      <c r="C42" s="12">
        <v>6</v>
      </c>
      <c r="D42" s="8">
        <v>1.9</v>
      </c>
      <c r="E42" s="12">
        <v>6</v>
      </c>
      <c r="F42" s="8">
        <v>2.88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135</v>
      </c>
      <c r="C43" s="12">
        <v>5</v>
      </c>
      <c r="D43" s="8">
        <v>1.59</v>
      </c>
      <c r="E43" s="12">
        <v>1</v>
      </c>
      <c r="F43" s="8">
        <v>0.48</v>
      </c>
      <c r="G43" s="12">
        <v>4</v>
      </c>
      <c r="H43" s="8">
        <v>3.92</v>
      </c>
      <c r="I43" s="12">
        <v>0</v>
      </c>
    </row>
    <row r="44" spans="2:9" ht="15" customHeight="1" x14ac:dyDescent="0.2">
      <c r="B44" t="s">
        <v>124</v>
      </c>
      <c r="C44" s="12">
        <v>5</v>
      </c>
      <c r="D44" s="8">
        <v>1.59</v>
      </c>
      <c r="E44" s="12">
        <v>1</v>
      </c>
      <c r="F44" s="8">
        <v>0.48</v>
      </c>
      <c r="G44" s="12">
        <v>4</v>
      </c>
      <c r="H44" s="8">
        <v>3.92</v>
      </c>
      <c r="I44" s="12">
        <v>0</v>
      </c>
    </row>
    <row r="45" spans="2:9" ht="15" customHeight="1" x14ac:dyDescent="0.2">
      <c r="B45" t="s">
        <v>101</v>
      </c>
      <c r="C45" s="12">
        <v>5</v>
      </c>
      <c r="D45" s="8">
        <v>1.59</v>
      </c>
      <c r="E45" s="12">
        <v>3</v>
      </c>
      <c r="F45" s="8">
        <v>1.44</v>
      </c>
      <c r="G45" s="12">
        <v>2</v>
      </c>
      <c r="H45" s="8">
        <v>1.96</v>
      </c>
      <c r="I45" s="12">
        <v>0</v>
      </c>
    </row>
    <row r="46" spans="2:9" ht="15" customHeight="1" x14ac:dyDescent="0.2">
      <c r="B46" t="s">
        <v>108</v>
      </c>
      <c r="C46" s="12">
        <v>5</v>
      </c>
      <c r="D46" s="8">
        <v>1.59</v>
      </c>
      <c r="E46" s="12">
        <v>2</v>
      </c>
      <c r="F46" s="8">
        <v>0.96</v>
      </c>
      <c r="G46" s="12">
        <v>3</v>
      </c>
      <c r="H46" s="8">
        <v>2.94</v>
      </c>
      <c r="I46" s="12">
        <v>0</v>
      </c>
    </row>
    <row r="49" spans="2:9" ht="33" customHeight="1" x14ac:dyDescent="0.2">
      <c r="B49" t="s">
        <v>287</v>
      </c>
      <c r="C49" s="10" t="s">
        <v>91</v>
      </c>
      <c r="D49" s="10" t="s">
        <v>92</v>
      </c>
      <c r="E49" s="10" t="s">
        <v>93</v>
      </c>
      <c r="F49" s="10" t="s">
        <v>94</v>
      </c>
      <c r="G49" s="10" t="s">
        <v>95</v>
      </c>
      <c r="H49" s="10" t="s">
        <v>96</v>
      </c>
      <c r="I49" s="10" t="s">
        <v>97</v>
      </c>
    </row>
    <row r="50" spans="2:9" ht="15" customHeight="1" x14ac:dyDescent="0.2">
      <c r="B50" t="s">
        <v>164</v>
      </c>
      <c r="C50" s="12">
        <v>21</v>
      </c>
      <c r="D50" s="8">
        <v>6.67</v>
      </c>
      <c r="E50" s="12">
        <v>16</v>
      </c>
      <c r="F50" s="8">
        <v>7.69</v>
      </c>
      <c r="G50" s="12">
        <v>5</v>
      </c>
      <c r="H50" s="8">
        <v>4.9000000000000004</v>
      </c>
      <c r="I50" s="12">
        <v>0</v>
      </c>
    </row>
    <row r="51" spans="2:9" ht="15" customHeight="1" x14ac:dyDescent="0.2">
      <c r="B51" t="s">
        <v>159</v>
      </c>
      <c r="C51" s="12">
        <v>16</v>
      </c>
      <c r="D51" s="8">
        <v>5.08</v>
      </c>
      <c r="E51" s="12">
        <v>14</v>
      </c>
      <c r="F51" s="8">
        <v>6.73</v>
      </c>
      <c r="G51" s="12">
        <v>2</v>
      </c>
      <c r="H51" s="8">
        <v>1.96</v>
      </c>
      <c r="I51" s="12">
        <v>0</v>
      </c>
    </row>
    <row r="52" spans="2:9" ht="15" customHeight="1" x14ac:dyDescent="0.2">
      <c r="B52" t="s">
        <v>210</v>
      </c>
      <c r="C52" s="12">
        <v>14</v>
      </c>
      <c r="D52" s="8">
        <v>4.4400000000000004</v>
      </c>
      <c r="E52" s="12">
        <v>13</v>
      </c>
      <c r="F52" s="8">
        <v>6.25</v>
      </c>
      <c r="G52" s="12">
        <v>1</v>
      </c>
      <c r="H52" s="8">
        <v>0.98</v>
      </c>
      <c r="I52" s="12">
        <v>0</v>
      </c>
    </row>
    <row r="53" spans="2:9" ht="15" customHeight="1" x14ac:dyDescent="0.2">
      <c r="B53" t="s">
        <v>169</v>
      </c>
      <c r="C53" s="12">
        <v>12</v>
      </c>
      <c r="D53" s="8">
        <v>3.81</v>
      </c>
      <c r="E53" s="12">
        <v>11</v>
      </c>
      <c r="F53" s="8">
        <v>5.29</v>
      </c>
      <c r="G53" s="12">
        <v>1</v>
      </c>
      <c r="H53" s="8">
        <v>0.98</v>
      </c>
      <c r="I53" s="12">
        <v>0</v>
      </c>
    </row>
    <row r="54" spans="2:9" ht="15" customHeight="1" x14ac:dyDescent="0.2">
      <c r="B54" t="s">
        <v>170</v>
      </c>
      <c r="C54" s="12">
        <v>12</v>
      </c>
      <c r="D54" s="8">
        <v>3.81</v>
      </c>
      <c r="E54" s="12">
        <v>11</v>
      </c>
      <c r="F54" s="8">
        <v>5.29</v>
      </c>
      <c r="G54" s="12">
        <v>1</v>
      </c>
      <c r="H54" s="8">
        <v>0.98</v>
      </c>
      <c r="I54" s="12">
        <v>0</v>
      </c>
    </row>
    <row r="55" spans="2:9" ht="15" customHeight="1" x14ac:dyDescent="0.2">
      <c r="B55" t="s">
        <v>160</v>
      </c>
      <c r="C55" s="12">
        <v>11</v>
      </c>
      <c r="D55" s="8">
        <v>3.49</v>
      </c>
      <c r="E55" s="12">
        <v>6</v>
      </c>
      <c r="F55" s="8">
        <v>2.88</v>
      </c>
      <c r="G55" s="12">
        <v>5</v>
      </c>
      <c r="H55" s="8">
        <v>4.9000000000000004</v>
      </c>
      <c r="I55" s="12">
        <v>0</v>
      </c>
    </row>
    <row r="56" spans="2:9" ht="15" customHeight="1" x14ac:dyDescent="0.2">
      <c r="B56" t="s">
        <v>171</v>
      </c>
      <c r="C56" s="12">
        <v>11</v>
      </c>
      <c r="D56" s="8">
        <v>3.49</v>
      </c>
      <c r="E56" s="12">
        <v>8</v>
      </c>
      <c r="F56" s="8">
        <v>3.85</v>
      </c>
      <c r="G56" s="12">
        <v>3</v>
      </c>
      <c r="H56" s="8">
        <v>2.94</v>
      </c>
      <c r="I56" s="12">
        <v>0</v>
      </c>
    </row>
    <row r="57" spans="2:9" ht="15" customHeight="1" x14ac:dyDescent="0.2">
      <c r="B57" t="s">
        <v>209</v>
      </c>
      <c r="C57" s="12">
        <v>9</v>
      </c>
      <c r="D57" s="8">
        <v>2.86</v>
      </c>
      <c r="E57" s="12">
        <v>5</v>
      </c>
      <c r="F57" s="8">
        <v>2.4</v>
      </c>
      <c r="G57" s="12">
        <v>4</v>
      </c>
      <c r="H57" s="8">
        <v>3.92</v>
      </c>
      <c r="I57" s="12">
        <v>0</v>
      </c>
    </row>
    <row r="58" spans="2:9" ht="15" customHeight="1" x14ac:dyDescent="0.2">
      <c r="B58" t="s">
        <v>186</v>
      </c>
      <c r="C58" s="12">
        <v>8</v>
      </c>
      <c r="D58" s="8">
        <v>2.54</v>
      </c>
      <c r="E58" s="12">
        <v>7</v>
      </c>
      <c r="F58" s="8">
        <v>3.37</v>
      </c>
      <c r="G58" s="12">
        <v>1</v>
      </c>
      <c r="H58" s="8">
        <v>0.98</v>
      </c>
      <c r="I58" s="12">
        <v>0</v>
      </c>
    </row>
    <row r="59" spans="2:9" ht="15" customHeight="1" x14ac:dyDescent="0.2">
      <c r="B59" t="s">
        <v>172</v>
      </c>
      <c r="C59" s="12">
        <v>8</v>
      </c>
      <c r="D59" s="8">
        <v>2.54</v>
      </c>
      <c r="E59" s="12">
        <v>8</v>
      </c>
      <c r="F59" s="8">
        <v>3.85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173</v>
      </c>
      <c r="C60" s="12">
        <v>8</v>
      </c>
      <c r="D60" s="8">
        <v>2.54</v>
      </c>
      <c r="E60" s="12">
        <v>8</v>
      </c>
      <c r="F60" s="8">
        <v>3.85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154</v>
      </c>
      <c r="C61" s="12">
        <v>7</v>
      </c>
      <c r="D61" s="8">
        <v>2.2200000000000002</v>
      </c>
      <c r="E61" s="12">
        <v>1</v>
      </c>
      <c r="F61" s="8">
        <v>0.48</v>
      </c>
      <c r="G61" s="12">
        <v>6</v>
      </c>
      <c r="H61" s="8">
        <v>5.88</v>
      </c>
      <c r="I61" s="12">
        <v>0</v>
      </c>
    </row>
    <row r="62" spans="2:9" ht="15" customHeight="1" x14ac:dyDescent="0.2">
      <c r="B62" t="s">
        <v>166</v>
      </c>
      <c r="C62" s="12">
        <v>7</v>
      </c>
      <c r="D62" s="8">
        <v>2.2200000000000002</v>
      </c>
      <c r="E62" s="12">
        <v>5</v>
      </c>
      <c r="F62" s="8">
        <v>2.4</v>
      </c>
      <c r="G62" s="12">
        <v>2</v>
      </c>
      <c r="H62" s="8">
        <v>1.96</v>
      </c>
      <c r="I62" s="12">
        <v>0</v>
      </c>
    </row>
    <row r="63" spans="2:9" ht="15" customHeight="1" x14ac:dyDescent="0.2">
      <c r="B63" t="s">
        <v>158</v>
      </c>
      <c r="C63" s="12">
        <v>6</v>
      </c>
      <c r="D63" s="8">
        <v>1.9</v>
      </c>
      <c r="E63" s="12">
        <v>5</v>
      </c>
      <c r="F63" s="8">
        <v>2.4</v>
      </c>
      <c r="G63" s="12">
        <v>1</v>
      </c>
      <c r="H63" s="8">
        <v>0.98</v>
      </c>
      <c r="I63" s="12">
        <v>0</v>
      </c>
    </row>
    <row r="64" spans="2:9" ht="15" customHeight="1" x14ac:dyDescent="0.2">
      <c r="B64" t="s">
        <v>264</v>
      </c>
      <c r="C64" s="12">
        <v>5</v>
      </c>
      <c r="D64" s="8">
        <v>1.59</v>
      </c>
      <c r="E64" s="12">
        <v>4</v>
      </c>
      <c r="F64" s="8">
        <v>1.92</v>
      </c>
      <c r="G64" s="12">
        <v>1</v>
      </c>
      <c r="H64" s="8">
        <v>0.98</v>
      </c>
      <c r="I64" s="12">
        <v>0</v>
      </c>
    </row>
    <row r="65" spans="2:9" ht="15" customHeight="1" x14ac:dyDescent="0.2">
      <c r="B65" t="s">
        <v>205</v>
      </c>
      <c r="C65" s="12">
        <v>5</v>
      </c>
      <c r="D65" s="8">
        <v>1.59</v>
      </c>
      <c r="E65" s="12">
        <v>4</v>
      </c>
      <c r="F65" s="8">
        <v>1.92</v>
      </c>
      <c r="G65" s="12">
        <v>1</v>
      </c>
      <c r="H65" s="8">
        <v>0.98</v>
      </c>
      <c r="I65" s="12">
        <v>0</v>
      </c>
    </row>
    <row r="66" spans="2:9" ht="15" customHeight="1" x14ac:dyDescent="0.2">
      <c r="B66" t="s">
        <v>156</v>
      </c>
      <c r="C66" s="12">
        <v>4</v>
      </c>
      <c r="D66" s="8">
        <v>1.27</v>
      </c>
      <c r="E66" s="12">
        <v>3</v>
      </c>
      <c r="F66" s="8">
        <v>1.44</v>
      </c>
      <c r="G66" s="12">
        <v>1</v>
      </c>
      <c r="H66" s="8">
        <v>0.98</v>
      </c>
      <c r="I66" s="12">
        <v>0</v>
      </c>
    </row>
    <row r="67" spans="2:9" ht="15" customHeight="1" x14ac:dyDescent="0.2">
      <c r="B67" t="s">
        <v>213</v>
      </c>
      <c r="C67" s="12">
        <v>4</v>
      </c>
      <c r="D67" s="8">
        <v>1.27</v>
      </c>
      <c r="E67" s="12">
        <v>1</v>
      </c>
      <c r="F67" s="8">
        <v>0.48</v>
      </c>
      <c r="G67" s="12">
        <v>3</v>
      </c>
      <c r="H67" s="8">
        <v>2.94</v>
      </c>
      <c r="I67" s="12">
        <v>0</v>
      </c>
    </row>
    <row r="68" spans="2:9" ht="15" customHeight="1" x14ac:dyDescent="0.2">
      <c r="B68" t="s">
        <v>180</v>
      </c>
      <c r="C68" s="12">
        <v>4</v>
      </c>
      <c r="D68" s="8">
        <v>1.27</v>
      </c>
      <c r="E68" s="12">
        <v>1</v>
      </c>
      <c r="F68" s="8">
        <v>0.48</v>
      </c>
      <c r="G68" s="12">
        <v>3</v>
      </c>
      <c r="H68" s="8">
        <v>2.94</v>
      </c>
      <c r="I68" s="12">
        <v>0</v>
      </c>
    </row>
    <row r="69" spans="2:9" ht="15" customHeight="1" x14ac:dyDescent="0.2">
      <c r="B69" t="s">
        <v>206</v>
      </c>
      <c r="C69" s="12">
        <v>4</v>
      </c>
      <c r="D69" s="8">
        <v>1.27</v>
      </c>
      <c r="E69" s="12">
        <v>2</v>
      </c>
      <c r="F69" s="8">
        <v>0.96</v>
      </c>
      <c r="G69" s="12">
        <v>2</v>
      </c>
      <c r="H69" s="8">
        <v>1.96</v>
      </c>
      <c r="I69" s="12">
        <v>0</v>
      </c>
    </row>
    <row r="70" spans="2:9" ht="15" customHeight="1" x14ac:dyDescent="0.2">
      <c r="B70" t="s">
        <v>251</v>
      </c>
      <c r="C70" s="12">
        <v>4</v>
      </c>
      <c r="D70" s="8">
        <v>1.27</v>
      </c>
      <c r="E70" s="12">
        <v>1</v>
      </c>
      <c r="F70" s="8">
        <v>0.48</v>
      </c>
      <c r="G70" s="12">
        <v>3</v>
      </c>
      <c r="H70" s="8">
        <v>2.94</v>
      </c>
      <c r="I70" s="12">
        <v>0</v>
      </c>
    </row>
    <row r="71" spans="2:9" ht="15" customHeight="1" x14ac:dyDescent="0.2">
      <c r="B71" t="s">
        <v>217</v>
      </c>
      <c r="C71" s="12">
        <v>4</v>
      </c>
      <c r="D71" s="8">
        <v>1.27</v>
      </c>
      <c r="E71" s="12">
        <v>1</v>
      </c>
      <c r="F71" s="8">
        <v>0.48</v>
      </c>
      <c r="G71" s="12">
        <v>3</v>
      </c>
      <c r="H71" s="8">
        <v>2.94</v>
      </c>
      <c r="I71" s="12">
        <v>0</v>
      </c>
    </row>
    <row r="72" spans="2:9" ht="15" customHeight="1" x14ac:dyDescent="0.2">
      <c r="B72" t="s">
        <v>157</v>
      </c>
      <c r="C72" s="12">
        <v>4</v>
      </c>
      <c r="D72" s="8">
        <v>1.27</v>
      </c>
      <c r="E72" s="12">
        <v>3</v>
      </c>
      <c r="F72" s="8">
        <v>1.44</v>
      </c>
      <c r="G72" s="12">
        <v>1</v>
      </c>
      <c r="H72" s="8">
        <v>0.98</v>
      </c>
      <c r="I72" s="12">
        <v>0</v>
      </c>
    </row>
    <row r="73" spans="2:9" ht="15" customHeight="1" x14ac:dyDescent="0.2">
      <c r="B73" t="s">
        <v>208</v>
      </c>
      <c r="C73" s="12">
        <v>4</v>
      </c>
      <c r="D73" s="8">
        <v>1.27</v>
      </c>
      <c r="E73" s="12">
        <v>3</v>
      </c>
      <c r="F73" s="8">
        <v>1.44</v>
      </c>
      <c r="G73" s="12">
        <v>1</v>
      </c>
      <c r="H73" s="8">
        <v>0.98</v>
      </c>
      <c r="I73" s="12">
        <v>0</v>
      </c>
    </row>
    <row r="74" spans="2:9" ht="15" customHeight="1" x14ac:dyDescent="0.2">
      <c r="B74" t="s">
        <v>162</v>
      </c>
      <c r="C74" s="12">
        <v>4</v>
      </c>
      <c r="D74" s="8">
        <v>1.27</v>
      </c>
      <c r="E74" s="12">
        <v>1</v>
      </c>
      <c r="F74" s="8">
        <v>0.48</v>
      </c>
      <c r="G74" s="12">
        <v>3</v>
      </c>
      <c r="H74" s="8">
        <v>2.94</v>
      </c>
      <c r="I74" s="12">
        <v>0</v>
      </c>
    </row>
    <row r="76" spans="2:9" ht="15" customHeight="1" x14ac:dyDescent="0.2">
      <c r="B76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21034-C064-4892-9C70-04175910AFF9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350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58</v>
      </c>
      <c r="D6" s="8">
        <v>13.62</v>
      </c>
      <c r="E6" s="12">
        <v>28</v>
      </c>
      <c r="F6" s="8">
        <v>10.69</v>
      </c>
      <c r="G6" s="12">
        <v>30</v>
      </c>
      <c r="H6" s="8">
        <v>18.75</v>
      </c>
      <c r="I6" s="12">
        <v>0</v>
      </c>
    </row>
    <row r="7" spans="2:9" ht="15" customHeight="1" x14ac:dyDescent="0.2">
      <c r="B7" t="s">
        <v>77</v>
      </c>
      <c r="C7" s="12">
        <v>67</v>
      </c>
      <c r="D7" s="8">
        <v>15.73</v>
      </c>
      <c r="E7" s="12">
        <v>32</v>
      </c>
      <c r="F7" s="8">
        <v>12.21</v>
      </c>
      <c r="G7" s="12">
        <v>34</v>
      </c>
      <c r="H7" s="8">
        <v>21.25</v>
      </c>
      <c r="I7" s="12">
        <v>1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2</v>
      </c>
      <c r="D9" s="8">
        <v>0.47</v>
      </c>
      <c r="E9" s="12">
        <v>0</v>
      </c>
      <c r="F9" s="8">
        <v>0</v>
      </c>
      <c r="G9" s="12">
        <v>2</v>
      </c>
      <c r="H9" s="8">
        <v>1.25</v>
      </c>
      <c r="I9" s="12">
        <v>0</v>
      </c>
    </row>
    <row r="10" spans="2:9" ht="15" customHeight="1" x14ac:dyDescent="0.2">
      <c r="B10" t="s">
        <v>80</v>
      </c>
      <c r="C10" s="12">
        <v>3</v>
      </c>
      <c r="D10" s="8">
        <v>0.7</v>
      </c>
      <c r="E10" s="12">
        <v>1</v>
      </c>
      <c r="F10" s="8">
        <v>0.38</v>
      </c>
      <c r="G10" s="12">
        <v>2</v>
      </c>
      <c r="H10" s="8">
        <v>1.25</v>
      </c>
      <c r="I10" s="12">
        <v>0</v>
      </c>
    </row>
    <row r="11" spans="2:9" ht="15" customHeight="1" x14ac:dyDescent="0.2">
      <c r="B11" t="s">
        <v>81</v>
      </c>
      <c r="C11" s="12">
        <v>109</v>
      </c>
      <c r="D11" s="8">
        <v>25.59</v>
      </c>
      <c r="E11" s="12">
        <v>68</v>
      </c>
      <c r="F11" s="8">
        <v>25.95</v>
      </c>
      <c r="G11" s="12">
        <v>41</v>
      </c>
      <c r="H11" s="8">
        <v>25.63</v>
      </c>
      <c r="I11" s="12">
        <v>0</v>
      </c>
    </row>
    <row r="12" spans="2:9" ht="15" customHeight="1" x14ac:dyDescent="0.2">
      <c r="B12" t="s">
        <v>82</v>
      </c>
      <c r="C12" s="12">
        <v>2</v>
      </c>
      <c r="D12" s="8">
        <v>0.47</v>
      </c>
      <c r="E12" s="12">
        <v>1</v>
      </c>
      <c r="F12" s="8">
        <v>0.38</v>
      </c>
      <c r="G12" s="12">
        <v>1</v>
      </c>
      <c r="H12" s="8">
        <v>0.63</v>
      </c>
      <c r="I12" s="12">
        <v>0</v>
      </c>
    </row>
    <row r="13" spans="2:9" ht="15" customHeight="1" x14ac:dyDescent="0.2">
      <c r="B13" t="s">
        <v>83</v>
      </c>
      <c r="C13" s="12">
        <v>21</v>
      </c>
      <c r="D13" s="8">
        <v>4.93</v>
      </c>
      <c r="E13" s="12">
        <v>10</v>
      </c>
      <c r="F13" s="8">
        <v>3.82</v>
      </c>
      <c r="G13" s="12">
        <v>11</v>
      </c>
      <c r="H13" s="8">
        <v>6.88</v>
      </c>
      <c r="I13" s="12">
        <v>0</v>
      </c>
    </row>
    <row r="14" spans="2:9" ht="15" customHeight="1" x14ac:dyDescent="0.2">
      <c r="B14" t="s">
        <v>84</v>
      </c>
      <c r="C14" s="12">
        <v>11</v>
      </c>
      <c r="D14" s="8">
        <v>2.58</v>
      </c>
      <c r="E14" s="12">
        <v>5</v>
      </c>
      <c r="F14" s="8">
        <v>1.91</v>
      </c>
      <c r="G14" s="12">
        <v>6</v>
      </c>
      <c r="H14" s="8">
        <v>3.75</v>
      </c>
      <c r="I14" s="12">
        <v>0</v>
      </c>
    </row>
    <row r="15" spans="2:9" ht="15" customHeight="1" x14ac:dyDescent="0.2">
      <c r="B15" t="s">
        <v>85</v>
      </c>
      <c r="C15" s="12">
        <v>31</v>
      </c>
      <c r="D15" s="8">
        <v>7.28</v>
      </c>
      <c r="E15" s="12">
        <v>24</v>
      </c>
      <c r="F15" s="8">
        <v>9.16</v>
      </c>
      <c r="G15" s="12">
        <v>7</v>
      </c>
      <c r="H15" s="8">
        <v>4.38</v>
      </c>
      <c r="I15" s="12">
        <v>0</v>
      </c>
    </row>
    <row r="16" spans="2:9" ht="15" customHeight="1" x14ac:dyDescent="0.2">
      <c r="B16" t="s">
        <v>86</v>
      </c>
      <c r="C16" s="12">
        <v>54</v>
      </c>
      <c r="D16" s="8">
        <v>12.68</v>
      </c>
      <c r="E16" s="12">
        <v>49</v>
      </c>
      <c r="F16" s="8">
        <v>18.7</v>
      </c>
      <c r="G16" s="12">
        <v>5</v>
      </c>
      <c r="H16" s="8">
        <v>3.13</v>
      </c>
      <c r="I16" s="12">
        <v>0</v>
      </c>
    </row>
    <row r="17" spans="2:9" ht="15" customHeight="1" x14ac:dyDescent="0.2">
      <c r="B17" t="s">
        <v>87</v>
      </c>
      <c r="C17" s="12">
        <v>11</v>
      </c>
      <c r="D17" s="8">
        <v>2.58</v>
      </c>
      <c r="E17" s="12">
        <v>9</v>
      </c>
      <c r="F17" s="8">
        <v>3.44</v>
      </c>
      <c r="G17" s="12">
        <v>1</v>
      </c>
      <c r="H17" s="8">
        <v>0.63</v>
      </c>
      <c r="I17" s="12">
        <v>0</v>
      </c>
    </row>
    <row r="18" spans="2:9" ht="15" customHeight="1" x14ac:dyDescent="0.2">
      <c r="B18" t="s">
        <v>88</v>
      </c>
      <c r="C18" s="12">
        <v>24</v>
      </c>
      <c r="D18" s="8">
        <v>5.63</v>
      </c>
      <c r="E18" s="12">
        <v>13</v>
      </c>
      <c r="F18" s="8">
        <v>4.96</v>
      </c>
      <c r="G18" s="12">
        <v>10</v>
      </c>
      <c r="H18" s="8">
        <v>6.25</v>
      </c>
      <c r="I18" s="12">
        <v>0</v>
      </c>
    </row>
    <row r="19" spans="2:9" ht="15" customHeight="1" x14ac:dyDescent="0.2">
      <c r="B19" t="s">
        <v>89</v>
      </c>
      <c r="C19" s="12">
        <v>33</v>
      </c>
      <c r="D19" s="8">
        <v>7.75</v>
      </c>
      <c r="E19" s="12">
        <v>22</v>
      </c>
      <c r="F19" s="8">
        <v>8.4</v>
      </c>
      <c r="G19" s="12">
        <v>10</v>
      </c>
      <c r="H19" s="8">
        <v>6.25</v>
      </c>
      <c r="I19" s="12">
        <v>1</v>
      </c>
    </row>
    <row r="20" spans="2:9" ht="15" customHeight="1" x14ac:dyDescent="0.2">
      <c r="B20" s="9" t="s">
        <v>285</v>
      </c>
      <c r="C20" s="12">
        <f>SUM(LTBL_40544[総数／事業所数])</f>
        <v>426</v>
      </c>
      <c r="E20" s="12">
        <f>SUBTOTAL(109,LTBL_40544[個人／事業所数])</f>
        <v>262</v>
      </c>
      <c r="G20" s="12">
        <f>SUBTOTAL(109,LTBL_40544[法人／事業所数])</f>
        <v>160</v>
      </c>
      <c r="I20" s="12">
        <f>SUBTOTAL(109,LTBL_40544[法人以外の団体／事業所数])</f>
        <v>2</v>
      </c>
    </row>
    <row r="21" spans="2:9" ht="15" customHeight="1" x14ac:dyDescent="0.2">
      <c r="E21" s="11">
        <f>LTBL_40544[[#Totals],[個人／事業所数]]/LTBL_40544[[#Totals],[総数／事業所数]]</f>
        <v>0.61502347417840375</v>
      </c>
      <c r="G21" s="11">
        <f>LTBL_40544[[#Totals],[法人／事業所数]]/LTBL_40544[[#Totals],[総数／事業所数]]</f>
        <v>0.37558685446009388</v>
      </c>
      <c r="I21" s="11">
        <f>LTBL_40544[[#Totals],[法人以外の団体／事業所数]]/LTBL_40544[[#Totals],[総数／事業所数]]</f>
        <v>4.6948356807511738E-3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48</v>
      </c>
      <c r="D24" s="8">
        <v>11.27</v>
      </c>
      <c r="E24" s="12">
        <v>46</v>
      </c>
      <c r="F24" s="8">
        <v>17.559999999999999</v>
      </c>
      <c r="G24" s="12">
        <v>2</v>
      </c>
      <c r="H24" s="8">
        <v>1.25</v>
      </c>
      <c r="I24" s="12">
        <v>0</v>
      </c>
    </row>
    <row r="25" spans="2:9" ht="15" customHeight="1" x14ac:dyDescent="0.2">
      <c r="B25" t="s">
        <v>107</v>
      </c>
      <c r="C25" s="12">
        <v>31</v>
      </c>
      <c r="D25" s="8">
        <v>7.28</v>
      </c>
      <c r="E25" s="12">
        <v>21</v>
      </c>
      <c r="F25" s="8">
        <v>8.02</v>
      </c>
      <c r="G25" s="12">
        <v>10</v>
      </c>
      <c r="H25" s="8">
        <v>6.25</v>
      </c>
      <c r="I25" s="12">
        <v>0</v>
      </c>
    </row>
    <row r="26" spans="2:9" ht="15" customHeight="1" x14ac:dyDescent="0.2">
      <c r="B26" t="s">
        <v>98</v>
      </c>
      <c r="C26" s="12">
        <v>28</v>
      </c>
      <c r="D26" s="8">
        <v>6.57</v>
      </c>
      <c r="E26" s="12">
        <v>13</v>
      </c>
      <c r="F26" s="8">
        <v>4.96</v>
      </c>
      <c r="G26" s="12">
        <v>15</v>
      </c>
      <c r="H26" s="8">
        <v>9.3800000000000008</v>
      </c>
      <c r="I26" s="12">
        <v>0</v>
      </c>
    </row>
    <row r="27" spans="2:9" ht="15" customHeight="1" x14ac:dyDescent="0.2">
      <c r="B27" t="s">
        <v>112</v>
      </c>
      <c r="C27" s="12">
        <v>26</v>
      </c>
      <c r="D27" s="8">
        <v>6.1</v>
      </c>
      <c r="E27" s="12">
        <v>23</v>
      </c>
      <c r="F27" s="8">
        <v>8.7799999999999994</v>
      </c>
      <c r="G27" s="12">
        <v>3</v>
      </c>
      <c r="H27" s="8">
        <v>1.88</v>
      </c>
      <c r="I27" s="12">
        <v>0</v>
      </c>
    </row>
    <row r="28" spans="2:9" ht="15" customHeight="1" x14ac:dyDescent="0.2">
      <c r="B28" t="s">
        <v>123</v>
      </c>
      <c r="C28" s="12">
        <v>24</v>
      </c>
      <c r="D28" s="8">
        <v>5.63</v>
      </c>
      <c r="E28" s="12">
        <v>21</v>
      </c>
      <c r="F28" s="8">
        <v>8.02</v>
      </c>
      <c r="G28" s="12">
        <v>3</v>
      </c>
      <c r="H28" s="8">
        <v>1.88</v>
      </c>
      <c r="I28" s="12">
        <v>0</v>
      </c>
    </row>
    <row r="29" spans="2:9" ht="15" customHeight="1" x14ac:dyDescent="0.2">
      <c r="B29" t="s">
        <v>99</v>
      </c>
      <c r="C29" s="12">
        <v>20</v>
      </c>
      <c r="D29" s="8">
        <v>4.6900000000000004</v>
      </c>
      <c r="E29" s="12">
        <v>10</v>
      </c>
      <c r="F29" s="8">
        <v>3.82</v>
      </c>
      <c r="G29" s="12">
        <v>10</v>
      </c>
      <c r="H29" s="8">
        <v>6.25</v>
      </c>
      <c r="I29" s="12">
        <v>0</v>
      </c>
    </row>
    <row r="30" spans="2:9" ht="15" customHeight="1" x14ac:dyDescent="0.2">
      <c r="B30" t="s">
        <v>106</v>
      </c>
      <c r="C30" s="12">
        <v>20</v>
      </c>
      <c r="D30" s="8">
        <v>4.6900000000000004</v>
      </c>
      <c r="E30" s="12">
        <v>15</v>
      </c>
      <c r="F30" s="8">
        <v>5.73</v>
      </c>
      <c r="G30" s="12">
        <v>5</v>
      </c>
      <c r="H30" s="8">
        <v>3.13</v>
      </c>
      <c r="I30" s="12">
        <v>0</v>
      </c>
    </row>
    <row r="31" spans="2:9" ht="15" customHeight="1" x14ac:dyDescent="0.2">
      <c r="B31" t="s">
        <v>105</v>
      </c>
      <c r="C31" s="12">
        <v>17</v>
      </c>
      <c r="D31" s="8">
        <v>3.99</v>
      </c>
      <c r="E31" s="12">
        <v>15</v>
      </c>
      <c r="F31" s="8">
        <v>5.73</v>
      </c>
      <c r="G31" s="12">
        <v>2</v>
      </c>
      <c r="H31" s="8">
        <v>1.25</v>
      </c>
      <c r="I31" s="12">
        <v>0</v>
      </c>
    </row>
    <row r="32" spans="2:9" ht="15" customHeight="1" x14ac:dyDescent="0.2">
      <c r="B32" t="s">
        <v>109</v>
      </c>
      <c r="C32" s="12">
        <v>17</v>
      </c>
      <c r="D32" s="8">
        <v>3.99</v>
      </c>
      <c r="E32" s="12">
        <v>9</v>
      </c>
      <c r="F32" s="8">
        <v>3.44</v>
      </c>
      <c r="G32" s="12">
        <v>8</v>
      </c>
      <c r="H32" s="8">
        <v>5</v>
      </c>
      <c r="I32" s="12">
        <v>0</v>
      </c>
    </row>
    <row r="33" spans="2:9" ht="15" customHeight="1" x14ac:dyDescent="0.2">
      <c r="B33" t="s">
        <v>134</v>
      </c>
      <c r="C33" s="12">
        <v>16</v>
      </c>
      <c r="D33" s="8">
        <v>3.76</v>
      </c>
      <c r="E33" s="12">
        <v>10</v>
      </c>
      <c r="F33" s="8">
        <v>3.82</v>
      </c>
      <c r="G33" s="12">
        <v>6</v>
      </c>
      <c r="H33" s="8">
        <v>3.75</v>
      </c>
      <c r="I33" s="12">
        <v>0</v>
      </c>
    </row>
    <row r="34" spans="2:9" ht="15" customHeight="1" x14ac:dyDescent="0.2">
      <c r="B34" t="s">
        <v>115</v>
      </c>
      <c r="C34" s="12">
        <v>15</v>
      </c>
      <c r="D34" s="8">
        <v>3.52</v>
      </c>
      <c r="E34" s="12">
        <v>13</v>
      </c>
      <c r="F34" s="8">
        <v>4.96</v>
      </c>
      <c r="G34" s="12">
        <v>2</v>
      </c>
      <c r="H34" s="8">
        <v>1.25</v>
      </c>
      <c r="I34" s="12">
        <v>0</v>
      </c>
    </row>
    <row r="35" spans="2:9" ht="15" customHeight="1" x14ac:dyDescent="0.2">
      <c r="B35" t="s">
        <v>114</v>
      </c>
      <c r="C35" s="12">
        <v>11</v>
      </c>
      <c r="D35" s="8">
        <v>2.58</v>
      </c>
      <c r="E35" s="12">
        <v>9</v>
      </c>
      <c r="F35" s="8">
        <v>3.44</v>
      </c>
      <c r="G35" s="12">
        <v>1</v>
      </c>
      <c r="H35" s="8">
        <v>0.63</v>
      </c>
      <c r="I35" s="12">
        <v>0</v>
      </c>
    </row>
    <row r="36" spans="2:9" ht="15" customHeight="1" x14ac:dyDescent="0.2">
      <c r="B36" t="s">
        <v>100</v>
      </c>
      <c r="C36" s="12">
        <v>10</v>
      </c>
      <c r="D36" s="8">
        <v>2.35</v>
      </c>
      <c r="E36" s="12">
        <v>5</v>
      </c>
      <c r="F36" s="8">
        <v>1.91</v>
      </c>
      <c r="G36" s="12">
        <v>5</v>
      </c>
      <c r="H36" s="8">
        <v>3.13</v>
      </c>
      <c r="I36" s="12">
        <v>0</v>
      </c>
    </row>
    <row r="37" spans="2:9" ht="15" customHeight="1" x14ac:dyDescent="0.2">
      <c r="B37" t="s">
        <v>101</v>
      </c>
      <c r="C37" s="12">
        <v>9</v>
      </c>
      <c r="D37" s="8">
        <v>2.11</v>
      </c>
      <c r="E37" s="12">
        <v>1</v>
      </c>
      <c r="F37" s="8">
        <v>0.38</v>
      </c>
      <c r="G37" s="12">
        <v>8</v>
      </c>
      <c r="H37" s="8">
        <v>5</v>
      </c>
      <c r="I37" s="12">
        <v>0</v>
      </c>
    </row>
    <row r="38" spans="2:9" ht="15" customHeight="1" x14ac:dyDescent="0.2">
      <c r="B38" t="s">
        <v>116</v>
      </c>
      <c r="C38" s="12">
        <v>9</v>
      </c>
      <c r="D38" s="8">
        <v>2.11</v>
      </c>
      <c r="E38" s="12">
        <v>0</v>
      </c>
      <c r="F38" s="8">
        <v>0</v>
      </c>
      <c r="G38" s="12">
        <v>8</v>
      </c>
      <c r="H38" s="8">
        <v>5</v>
      </c>
      <c r="I38" s="12">
        <v>0</v>
      </c>
    </row>
    <row r="39" spans="2:9" ht="15" customHeight="1" x14ac:dyDescent="0.2">
      <c r="B39" t="s">
        <v>131</v>
      </c>
      <c r="C39" s="12">
        <v>8</v>
      </c>
      <c r="D39" s="8">
        <v>1.88</v>
      </c>
      <c r="E39" s="12">
        <v>6</v>
      </c>
      <c r="F39" s="8">
        <v>2.29</v>
      </c>
      <c r="G39" s="12">
        <v>2</v>
      </c>
      <c r="H39" s="8">
        <v>1.25</v>
      </c>
      <c r="I39" s="12">
        <v>0</v>
      </c>
    </row>
    <row r="40" spans="2:9" ht="15" customHeight="1" x14ac:dyDescent="0.2">
      <c r="B40" t="s">
        <v>126</v>
      </c>
      <c r="C40" s="12">
        <v>8</v>
      </c>
      <c r="D40" s="8">
        <v>1.88</v>
      </c>
      <c r="E40" s="12">
        <v>2</v>
      </c>
      <c r="F40" s="8">
        <v>0.76</v>
      </c>
      <c r="G40" s="12">
        <v>6</v>
      </c>
      <c r="H40" s="8">
        <v>3.75</v>
      </c>
      <c r="I40" s="12">
        <v>0</v>
      </c>
    </row>
    <row r="41" spans="2:9" ht="15" customHeight="1" x14ac:dyDescent="0.2">
      <c r="B41" t="s">
        <v>104</v>
      </c>
      <c r="C41" s="12">
        <v>7</v>
      </c>
      <c r="D41" s="8">
        <v>1.64</v>
      </c>
      <c r="E41" s="12">
        <v>7</v>
      </c>
      <c r="F41" s="8">
        <v>2.67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111</v>
      </c>
      <c r="C42" s="12">
        <v>7</v>
      </c>
      <c r="D42" s="8">
        <v>1.64</v>
      </c>
      <c r="E42" s="12">
        <v>2</v>
      </c>
      <c r="F42" s="8">
        <v>0.76</v>
      </c>
      <c r="G42" s="12">
        <v>5</v>
      </c>
      <c r="H42" s="8">
        <v>3.13</v>
      </c>
      <c r="I42" s="12">
        <v>0</v>
      </c>
    </row>
    <row r="43" spans="2:9" ht="15" customHeight="1" x14ac:dyDescent="0.2">
      <c r="B43" t="s">
        <v>133</v>
      </c>
      <c r="C43" s="12">
        <v>6</v>
      </c>
      <c r="D43" s="8">
        <v>1.41</v>
      </c>
      <c r="E43" s="12">
        <v>5</v>
      </c>
      <c r="F43" s="8">
        <v>1.91</v>
      </c>
      <c r="G43" s="12">
        <v>0</v>
      </c>
      <c r="H43" s="8">
        <v>0</v>
      </c>
      <c r="I43" s="12">
        <v>1</v>
      </c>
    </row>
    <row r="44" spans="2:9" ht="15" customHeight="1" x14ac:dyDescent="0.2">
      <c r="B44" t="s">
        <v>119</v>
      </c>
      <c r="C44" s="12">
        <v>6</v>
      </c>
      <c r="D44" s="8">
        <v>1.41</v>
      </c>
      <c r="E44" s="12">
        <v>2</v>
      </c>
      <c r="F44" s="8">
        <v>0.76</v>
      </c>
      <c r="G44" s="12">
        <v>4</v>
      </c>
      <c r="H44" s="8">
        <v>2.5</v>
      </c>
      <c r="I44" s="12">
        <v>0</v>
      </c>
    </row>
    <row r="45" spans="2:9" ht="15" customHeight="1" x14ac:dyDescent="0.2">
      <c r="B45" t="s">
        <v>124</v>
      </c>
      <c r="C45" s="12">
        <v>6</v>
      </c>
      <c r="D45" s="8">
        <v>1.41</v>
      </c>
      <c r="E45" s="12">
        <v>2</v>
      </c>
      <c r="F45" s="8">
        <v>0.76</v>
      </c>
      <c r="G45" s="12">
        <v>4</v>
      </c>
      <c r="H45" s="8">
        <v>2.5</v>
      </c>
      <c r="I45" s="12">
        <v>0</v>
      </c>
    </row>
    <row r="46" spans="2:9" ht="15" customHeight="1" x14ac:dyDescent="0.2">
      <c r="B46" t="s">
        <v>102</v>
      </c>
      <c r="C46" s="12">
        <v>6</v>
      </c>
      <c r="D46" s="8">
        <v>1.41</v>
      </c>
      <c r="E46" s="12">
        <v>2</v>
      </c>
      <c r="F46" s="8">
        <v>0.76</v>
      </c>
      <c r="G46" s="12">
        <v>4</v>
      </c>
      <c r="H46" s="8">
        <v>2.5</v>
      </c>
      <c r="I46" s="12">
        <v>0</v>
      </c>
    </row>
    <row r="49" spans="2:9" ht="33" customHeight="1" x14ac:dyDescent="0.2">
      <c r="B49" t="s">
        <v>287</v>
      </c>
      <c r="C49" s="10" t="s">
        <v>91</v>
      </c>
      <c r="D49" s="10" t="s">
        <v>92</v>
      </c>
      <c r="E49" s="10" t="s">
        <v>93</v>
      </c>
      <c r="F49" s="10" t="s">
        <v>94</v>
      </c>
      <c r="G49" s="10" t="s">
        <v>95</v>
      </c>
      <c r="H49" s="10" t="s">
        <v>96</v>
      </c>
      <c r="I49" s="10" t="s">
        <v>97</v>
      </c>
    </row>
    <row r="50" spans="2:9" ht="15" customHeight="1" x14ac:dyDescent="0.2">
      <c r="B50" t="s">
        <v>173</v>
      </c>
      <c r="C50" s="12">
        <v>24</v>
      </c>
      <c r="D50" s="8">
        <v>5.63</v>
      </c>
      <c r="E50" s="12">
        <v>21</v>
      </c>
      <c r="F50" s="8">
        <v>8.02</v>
      </c>
      <c r="G50" s="12">
        <v>3</v>
      </c>
      <c r="H50" s="8">
        <v>1.88</v>
      </c>
      <c r="I50" s="12">
        <v>0</v>
      </c>
    </row>
    <row r="51" spans="2:9" ht="15" customHeight="1" x14ac:dyDescent="0.2">
      <c r="B51" t="s">
        <v>170</v>
      </c>
      <c r="C51" s="12">
        <v>23</v>
      </c>
      <c r="D51" s="8">
        <v>5.4</v>
      </c>
      <c r="E51" s="12">
        <v>22</v>
      </c>
      <c r="F51" s="8">
        <v>8.4</v>
      </c>
      <c r="G51" s="12">
        <v>1</v>
      </c>
      <c r="H51" s="8">
        <v>0.63</v>
      </c>
      <c r="I51" s="12">
        <v>0</v>
      </c>
    </row>
    <row r="52" spans="2:9" ht="15" customHeight="1" x14ac:dyDescent="0.2">
      <c r="B52" t="s">
        <v>159</v>
      </c>
      <c r="C52" s="12">
        <v>15</v>
      </c>
      <c r="D52" s="8">
        <v>3.52</v>
      </c>
      <c r="E52" s="12">
        <v>10</v>
      </c>
      <c r="F52" s="8">
        <v>3.82</v>
      </c>
      <c r="G52" s="12">
        <v>5</v>
      </c>
      <c r="H52" s="8">
        <v>3.13</v>
      </c>
      <c r="I52" s="12">
        <v>0</v>
      </c>
    </row>
    <row r="53" spans="2:9" ht="15" customHeight="1" x14ac:dyDescent="0.2">
      <c r="B53" t="s">
        <v>169</v>
      </c>
      <c r="C53" s="12">
        <v>13</v>
      </c>
      <c r="D53" s="8">
        <v>3.05</v>
      </c>
      <c r="E53" s="12">
        <v>13</v>
      </c>
      <c r="F53" s="8">
        <v>4.96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164</v>
      </c>
      <c r="C54" s="12">
        <v>12</v>
      </c>
      <c r="D54" s="8">
        <v>2.82</v>
      </c>
      <c r="E54" s="12">
        <v>7</v>
      </c>
      <c r="F54" s="8">
        <v>2.67</v>
      </c>
      <c r="G54" s="12">
        <v>5</v>
      </c>
      <c r="H54" s="8">
        <v>3.13</v>
      </c>
      <c r="I54" s="12">
        <v>0</v>
      </c>
    </row>
    <row r="55" spans="2:9" ht="15" customHeight="1" x14ac:dyDescent="0.2">
      <c r="B55" t="s">
        <v>172</v>
      </c>
      <c r="C55" s="12">
        <v>12</v>
      </c>
      <c r="D55" s="8">
        <v>2.82</v>
      </c>
      <c r="E55" s="12">
        <v>10</v>
      </c>
      <c r="F55" s="8">
        <v>3.82</v>
      </c>
      <c r="G55" s="12">
        <v>2</v>
      </c>
      <c r="H55" s="8">
        <v>1.25</v>
      </c>
      <c r="I55" s="12">
        <v>0</v>
      </c>
    </row>
    <row r="56" spans="2:9" ht="15" customHeight="1" x14ac:dyDescent="0.2">
      <c r="B56" t="s">
        <v>160</v>
      </c>
      <c r="C56" s="12">
        <v>11</v>
      </c>
      <c r="D56" s="8">
        <v>2.58</v>
      </c>
      <c r="E56" s="12">
        <v>7</v>
      </c>
      <c r="F56" s="8">
        <v>2.67</v>
      </c>
      <c r="G56" s="12">
        <v>4</v>
      </c>
      <c r="H56" s="8">
        <v>2.5</v>
      </c>
      <c r="I56" s="12">
        <v>0</v>
      </c>
    </row>
    <row r="57" spans="2:9" ht="15" customHeight="1" x14ac:dyDescent="0.2">
      <c r="B57" t="s">
        <v>186</v>
      </c>
      <c r="C57" s="12">
        <v>9</v>
      </c>
      <c r="D57" s="8">
        <v>2.11</v>
      </c>
      <c r="E57" s="12">
        <v>5</v>
      </c>
      <c r="F57" s="8">
        <v>1.91</v>
      </c>
      <c r="G57" s="12">
        <v>4</v>
      </c>
      <c r="H57" s="8">
        <v>2.5</v>
      </c>
      <c r="I57" s="12">
        <v>0</v>
      </c>
    </row>
    <row r="58" spans="2:9" ht="15" customHeight="1" x14ac:dyDescent="0.2">
      <c r="B58" t="s">
        <v>158</v>
      </c>
      <c r="C58" s="12">
        <v>9</v>
      </c>
      <c r="D58" s="8">
        <v>2.11</v>
      </c>
      <c r="E58" s="12">
        <v>7</v>
      </c>
      <c r="F58" s="8">
        <v>2.67</v>
      </c>
      <c r="G58" s="12">
        <v>2</v>
      </c>
      <c r="H58" s="8">
        <v>1.25</v>
      </c>
      <c r="I58" s="12">
        <v>0</v>
      </c>
    </row>
    <row r="59" spans="2:9" ht="15" customHeight="1" x14ac:dyDescent="0.2">
      <c r="B59" t="s">
        <v>161</v>
      </c>
      <c r="C59" s="12">
        <v>9</v>
      </c>
      <c r="D59" s="8">
        <v>2.11</v>
      </c>
      <c r="E59" s="12">
        <v>9</v>
      </c>
      <c r="F59" s="8">
        <v>3.44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166</v>
      </c>
      <c r="C60" s="12">
        <v>9</v>
      </c>
      <c r="D60" s="8">
        <v>2.11</v>
      </c>
      <c r="E60" s="12">
        <v>7</v>
      </c>
      <c r="F60" s="8">
        <v>2.67</v>
      </c>
      <c r="G60" s="12">
        <v>2</v>
      </c>
      <c r="H60" s="8">
        <v>1.25</v>
      </c>
      <c r="I60" s="12">
        <v>0</v>
      </c>
    </row>
    <row r="61" spans="2:9" ht="15" customHeight="1" x14ac:dyDescent="0.2">
      <c r="B61" t="s">
        <v>167</v>
      </c>
      <c r="C61" s="12">
        <v>9</v>
      </c>
      <c r="D61" s="8">
        <v>2.11</v>
      </c>
      <c r="E61" s="12">
        <v>9</v>
      </c>
      <c r="F61" s="8">
        <v>3.44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265</v>
      </c>
      <c r="C62" s="12">
        <v>8</v>
      </c>
      <c r="D62" s="8">
        <v>1.88</v>
      </c>
      <c r="E62" s="12">
        <v>6</v>
      </c>
      <c r="F62" s="8">
        <v>2.29</v>
      </c>
      <c r="G62" s="12">
        <v>2</v>
      </c>
      <c r="H62" s="8">
        <v>1.25</v>
      </c>
      <c r="I62" s="12">
        <v>0</v>
      </c>
    </row>
    <row r="63" spans="2:9" ht="15" customHeight="1" x14ac:dyDescent="0.2">
      <c r="B63" t="s">
        <v>165</v>
      </c>
      <c r="C63" s="12">
        <v>7</v>
      </c>
      <c r="D63" s="8">
        <v>1.64</v>
      </c>
      <c r="E63" s="12">
        <v>2</v>
      </c>
      <c r="F63" s="8">
        <v>0.76</v>
      </c>
      <c r="G63" s="12">
        <v>5</v>
      </c>
      <c r="H63" s="8">
        <v>3.13</v>
      </c>
      <c r="I63" s="12">
        <v>0</v>
      </c>
    </row>
    <row r="64" spans="2:9" ht="15" customHeight="1" x14ac:dyDescent="0.2">
      <c r="B64" t="s">
        <v>220</v>
      </c>
      <c r="C64" s="12">
        <v>7</v>
      </c>
      <c r="D64" s="8">
        <v>1.64</v>
      </c>
      <c r="E64" s="12">
        <v>7</v>
      </c>
      <c r="F64" s="8">
        <v>2.67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154</v>
      </c>
      <c r="C65" s="12">
        <v>6</v>
      </c>
      <c r="D65" s="8">
        <v>1.41</v>
      </c>
      <c r="E65" s="12">
        <v>3</v>
      </c>
      <c r="F65" s="8">
        <v>1.1499999999999999</v>
      </c>
      <c r="G65" s="12">
        <v>3</v>
      </c>
      <c r="H65" s="8">
        <v>1.88</v>
      </c>
      <c r="I65" s="12">
        <v>0</v>
      </c>
    </row>
    <row r="66" spans="2:9" ht="15" customHeight="1" x14ac:dyDescent="0.2">
      <c r="B66" t="s">
        <v>155</v>
      </c>
      <c r="C66" s="12">
        <v>6</v>
      </c>
      <c r="D66" s="8">
        <v>1.41</v>
      </c>
      <c r="E66" s="12">
        <v>2</v>
      </c>
      <c r="F66" s="8">
        <v>0.76</v>
      </c>
      <c r="G66" s="12">
        <v>4</v>
      </c>
      <c r="H66" s="8">
        <v>2.5</v>
      </c>
      <c r="I66" s="12">
        <v>0</v>
      </c>
    </row>
    <row r="67" spans="2:9" ht="15" customHeight="1" x14ac:dyDescent="0.2">
      <c r="B67" t="s">
        <v>211</v>
      </c>
      <c r="C67" s="12">
        <v>6</v>
      </c>
      <c r="D67" s="8">
        <v>1.41</v>
      </c>
      <c r="E67" s="12">
        <v>5</v>
      </c>
      <c r="F67" s="8">
        <v>1.91</v>
      </c>
      <c r="G67" s="12">
        <v>0</v>
      </c>
      <c r="H67" s="8">
        <v>0</v>
      </c>
      <c r="I67" s="12">
        <v>1</v>
      </c>
    </row>
    <row r="68" spans="2:9" ht="15" customHeight="1" x14ac:dyDescent="0.2">
      <c r="B68" t="s">
        <v>194</v>
      </c>
      <c r="C68" s="12">
        <v>6</v>
      </c>
      <c r="D68" s="8">
        <v>1.41</v>
      </c>
      <c r="E68" s="12">
        <v>1</v>
      </c>
      <c r="F68" s="8">
        <v>0.38</v>
      </c>
      <c r="G68" s="12">
        <v>5</v>
      </c>
      <c r="H68" s="8">
        <v>3.13</v>
      </c>
      <c r="I68" s="12">
        <v>0</v>
      </c>
    </row>
    <row r="69" spans="2:9" ht="15" customHeight="1" x14ac:dyDescent="0.2">
      <c r="B69" t="s">
        <v>182</v>
      </c>
      <c r="C69" s="12">
        <v>6</v>
      </c>
      <c r="D69" s="8">
        <v>1.41</v>
      </c>
      <c r="E69" s="12">
        <v>5</v>
      </c>
      <c r="F69" s="8">
        <v>1.91</v>
      </c>
      <c r="G69" s="12">
        <v>1</v>
      </c>
      <c r="H69" s="8">
        <v>0.63</v>
      </c>
      <c r="I69" s="12">
        <v>0</v>
      </c>
    </row>
    <row r="70" spans="2:9" ht="15" customHeight="1" x14ac:dyDescent="0.2">
      <c r="B70" t="s">
        <v>201</v>
      </c>
      <c r="C70" s="12">
        <v>6</v>
      </c>
      <c r="D70" s="8">
        <v>1.41</v>
      </c>
      <c r="E70" s="12">
        <v>6</v>
      </c>
      <c r="F70" s="8">
        <v>2.29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204</v>
      </c>
      <c r="C71" s="12">
        <v>6</v>
      </c>
      <c r="D71" s="8">
        <v>1.41</v>
      </c>
      <c r="E71" s="12">
        <v>0</v>
      </c>
      <c r="F71" s="8">
        <v>0</v>
      </c>
      <c r="G71" s="12">
        <v>6</v>
      </c>
      <c r="H71" s="8">
        <v>3.75</v>
      </c>
      <c r="I71" s="12">
        <v>0</v>
      </c>
    </row>
    <row r="73" spans="2:9" ht="15" customHeight="1" x14ac:dyDescent="0.2">
      <c r="B73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80F7B-209C-4B6A-8830-45C77337451D}">
  <sheetPr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351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33</v>
      </c>
      <c r="D6" s="8">
        <v>17.190000000000001</v>
      </c>
      <c r="E6" s="12">
        <v>16</v>
      </c>
      <c r="F6" s="8">
        <v>13.22</v>
      </c>
      <c r="G6" s="12">
        <v>17</v>
      </c>
      <c r="H6" s="8">
        <v>25.76</v>
      </c>
      <c r="I6" s="12">
        <v>0</v>
      </c>
    </row>
    <row r="7" spans="2:9" ht="15" customHeight="1" x14ac:dyDescent="0.2">
      <c r="B7" t="s">
        <v>77</v>
      </c>
      <c r="C7" s="12">
        <v>21</v>
      </c>
      <c r="D7" s="8">
        <v>10.94</v>
      </c>
      <c r="E7" s="12">
        <v>7</v>
      </c>
      <c r="F7" s="8">
        <v>5.79</v>
      </c>
      <c r="G7" s="12">
        <v>14</v>
      </c>
      <c r="H7" s="8">
        <v>21.21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80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81</v>
      </c>
      <c r="C11" s="12">
        <v>56</v>
      </c>
      <c r="D11" s="8">
        <v>29.17</v>
      </c>
      <c r="E11" s="12">
        <v>41</v>
      </c>
      <c r="F11" s="8">
        <v>33.880000000000003</v>
      </c>
      <c r="G11" s="12">
        <v>15</v>
      </c>
      <c r="H11" s="8">
        <v>22.73</v>
      </c>
      <c r="I11" s="12">
        <v>0</v>
      </c>
    </row>
    <row r="12" spans="2:9" ht="15" customHeight="1" x14ac:dyDescent="0.2">
      <c r="B12" t="s">
        <v>82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83</v>
      </c>
      <c r="C13" s="12">
        <v>6</v>
      </c>
      <c r="D13" s="8">
        <v>3.13</v>
      </c>
      <c r="E13" s="12">
        <v>2</v>
      </c>
      <c r="F13" s="8">
        <v>1.65</v>
      </c>
      <c r="G13" s="12">
        <v>3</v>
      </c>
      <c r="H13" s="8">
        <v>4.55</v>
      </c>
      <c r="I13" s="12">
        <v>0</v>
      </c>
    </row>
    <row r="14" spans="2:9" ht="15" customHeight="1" x14ac:dyDescent="0.2">
      <c r="B14" t="s">
        <v>84</v>
      </c>
      <c r="C14" s="12">
        <v>7</v>
      </c>
      <c r="D14" s="8">
        <v>3.65</v>
      </c>
      <c r="E14" s="12">
        <v>4</v>
      </c>
      <c r="F14" s="8">
        <v>3.31</v>
      </c>
      <c r="G14" s="12">
        <v>3</v>
      </c>
      <c r="H14" s="8">
        <v>4.55</v>
      </c>
      <c r="I14" s="12">
        <v>0</v>
      </c>
    </row>
    <row r="15" spans="2:9" ht="15" customHeight="1" x14ac:dyDescent="0.2">
      <c r="B15" t="s">
        <v>85</v>
      </c>
      <c r="C15" s="12">
        <v>15</v>
      </c>
      <c r="D15" s="8">
        <v>7.81</v>
      </c>
      <c r="E15" s="12">
        <v>11</v>
      </c>
      <c r="F15" s="8">
        <v>9.09</v>
      </c>
      <c r="G15" s="12">
        <v>3</v>
      </c>
      <c r="H15" s="8">
        <v>4.55</v>
      </c>
      <c r="I15" s="12">
        <v>0</v>
      </c>
    </row>
    <row r="16" spans="2:9" ht="15" customHeight="1" x14ac:dyDescent="0.2">
      <c r="B16" t="s">
        <v>86</v>
      </c>
      <c r="C16" s="12">
        <v>30</v>
      </c>
      <c r="D16" s="8">
        <v>15.63</v>
      </c>
      <c r="E16" s="12">
        <v>27</v>
      </c>
      <c r="F16" s="8">
        <v>22.31</v>
      </c>
      <c r="G16" s="12">
        <v>3</v>
      </c>
      <c r="H16" s="8">
        <v>4.55</v>
      </c>
      <c r="I16" s="12">
        <v>0</v>
      </c>
    </row>
    <row r="17" spans="2:9" ht="15" customHeight="1" x14ac:dyDescent="0.2">
      <c r="B17" t="s">
        <v>87</v>
      </c>
      <c r="C17" s="12">
        <v>5</v>
      </c>
      <c r="D17" s="8">
        <v>2.6</v>
      </c>
      <c r="E17" s="12">
        <v>1</v>
      </c>
      <c r="F17" s="8">
        <v>0.83</v>
      </c>
      <c r="G17" s="12">
        <v>3</v>
      </c>
      <c r="H17" s="8">
        <v>4.55</v>
      </c>
      <c r="I17" s="12">
        <v>0</v>
      </c>
    </row>
    <row r="18" spans="2:9" ht="15" customHeight="1" x14ac:dyDescent="0.2">
      <c r="B18" t="s">
        <v>88</v>
      </c>
      <c r="C18" s="12">
        <v>11</v>
      </c>
      <c r="D18" s="8">
        <v>5.73</v>
      </c>
      <c r="E18" s="12">
        <v>5</v>
      </c>
      <c r="F18" s="8">
        <v>4.13</v>
      </c>
      <c r="G18" s="12">
        <v>4</v>
      </c>
      <c r="H18" s="8">
        <v>6.06</v>
      </c>
      <c r="I18" s="12">
        <v>0</v>
      </c>
    </row>
    <row r="19" spans="2:9" ht="15" customHeight="1" x14ac:dyDescent="0.2">
      <c r="B19" t="s">
        <v>89</v>
      </c>
      <c r="C19" s="12">
        <v>8</v>
      </c>
      <c r="D19" s="8">
        <v>4.17</v>
      </c>
      <c r="E19" s="12">
        <v>7</v>
      </c>
      <c r="F19" s="8">
        <v>5.79</v>
      </c>
      <c r="G19" s="12">
        <v>1</v>
      </c>
      <c r="H19" s="8">
        <v>1.52</v>
      </c>
      <c r="I19" s="12">
        <v>0</v>
      </c>
    </row>
    <row r="20" spans="2:9" ht="15" customHeight="1" x14ac:dyDescent="0.2">
      <c r="B20" s="9" t="s">
        <v>285</v>
      </c>
      <c r="C20" s="12">
        <f>SUM(LTBL_40601[総数／事業所数])</f>
        <v>192</v>
      </c>
      <c r="E20" s="12">
        <f>SUBTOTAL(109,LTBL_40601[個人／事業所数])</f>
        <v>121</v>
      </c>
      <c r="G20" s="12">
        <f>SUBTOTAL(109,LTBL_40601[法人／事業所数])</f>
        <v>66</v>
      </c>
      <c r="I20" s="12">
        <f>SUBTOTAL(109,LTBL_40601[法人以外の団体／事業所数])</f>
        <v>0</v>
      </c>
    </row>
    <row r="21" spans="2:9" ht="15" customHeight="1" x14ac:dyDescent="0.2">
      <c r="E21" s="11">
        <f>LTBL_40601[[#Totals],[個人／事業所数]]/LTBL_40601[[#Totals],[総数／事業所数]]</f>
        <v>0.63020833333333337</v>
      </c>
      <c r="G21" s="11">
        <f>LTBL_40601[[#Totals],[法人／事業所数]]/LTBL_40601[[#Totals],[総数／事業所数]]</f>
        <v>0.34375</v>
      </c>
      <c r="I21" s="11">
        <f>LTBL_40601[[#Totals],[法人以外の団体／事業所数]]/LTBL_40601[[#Totals],[総数／事業所数]]</f>
        <v>0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27</v>
      </c>
      <c r="D24" s="8">
        <v>14.06</v>
      </c>
      <c r="E24" s="12">
        <v>25</v>
      </c>
      <c r="F24" s="8">
        <v>20.66</v>
      </c>
      <c r="G24" s="12">
        <v>2</v>
      </c>
      <c r="H24" s="8">
        <v>3.03</v>
      </c>
      <c r="I24" s="12">
        <v>0</v>
      </c>
    </row>
    <row r="25" spans="2:9" ht="15" customHeight="1" x14ac:dyDescent="0.2">
      <c r="B25" t="s">
        <v>98</v>
      </c>
      <c r="C25" s="12">
        <v>21</v>
      </c>
      <c r="D25" s="8">
        <v>10.94</v>
      </c>
      <c r="E25" s="12">
        <v>9</v>
      </c>
      <c r="F25" s="8">
        <v>7.44</v>
      </c>
      <c r="G25" s="12">
        <v>12</v>
      </c>
      <c r="H25" s="8">
        <v>18.18</v>
      </c>
      <c r="I25" s="12">
        <v>0</v>
      </c>
    </row>
    <row r="26" spans="2:9" ht="15" customHeight="1" x14ac:dyDescent="0.2">
      <c r="B26" t="s">
        <v>105</v>
      </c>
      <c r="C26" s="12">
        <v>20</v>
      </c>
      <c r="D26" s="8">
        <v>10.42</v>
      </c>
      <c r="E26" s="12">
        <v>19</v>
      </c>
      <c r="F26" s="8">
        <v>15.7</v>
      </c>
      <c r="G26" s="12">
        <v>1</v>
      </c>
      <c r="H26" s="8">
        <v>1.52</v>
      </c>
      <c r="I26" s="12">
        <v>0</v>
      </c>
    </row>
    <row r="27" spans="2:9" ht="15" customHeight="1" x14ac:dyDescent="0.2">
      <c r="B27" t="s">
        <v>107</v>
      </c>
      <c r="C27" s="12">
        <v>16</v>
      </c>
      <c r="D27" s="8">
        <v>8.33</v>
      </c>
      <c r="E27" s="12">
        <v>8</v>
      </c>
      <c r="F27" s="8">
        <v>6.61</v>
      </c>
      <c r="G27" s="12">
        <v>8</v>
      </c>
      <c r="H27" s="8">
        <v>12.12</v>
      </c>
      <c r="I27" s="12">
        <v>0</v>
      </c>
    </row>
    <row r="28" spans="2:9" ht="15" customHeight="1" x14ac:dyDescent="0.2">
      <c r="B28" t="s">
        <v>112</v>
      </c>
      <c r="C28" s="12">
        <v>10</v>
      </c>
      <c r="D28" s="8">
        <v>5.21</v>
      </c>
      <c r="E28" s="12">
        <v>9</v>
      </c>
      <c r="F28" s="8">
        <v>7.44</v>
      </c>
      <c r="G28" s="12">
        <v>1</v>
      </c>
      <c r="H28" s="8">
        <v>1.52</v>
      </c>
      <c r="I28" s="12">
        <v>0</v>
      </c>
    </row>
    <row r="29" spans="2:9" ht="15" customHeight="1" x14ac:dyDescent="0.2">
      <c r="B29" t="s">
        <v>123</v>
      </c>
      <c r="C29" s="12">
        <v>7</v>
      </c>
      <c r="D29" s="8">
        <v>3.65</v>
      </c>
      <c r="E29" s="12">
        <v>6</v>
      </c>
      <c r="F29" s="8">
        <v>4.96</v>
      </c>
      <c r="G29" s="12">
        <v>1</v>
      </c>
      <c r="H29" s="8">
        <v>1.52</v>
      </c>
      <c r="I29" s="12">
        <v>0</v>
      </c>
    </row>
    <row r="30" spans="2:9" ht="15" customHeight="1" x14ac:dyDescent="0.2">
      <c r="B30" t="s">
        <v>99</v>
      </c>
      <c r="C30" s="12">
        <v>6</v>
      </c>
      <c r="D30" s="8">
        <v>3.13</v>
      </c>
      <c r="E30" s="12">
        <v>4</v>
      </c>
      <c r="F30" s="8">
        <v>3.31</v>
      </c>
      <c r="G30" s="12">
        <v>2</v>
      </c>
      <c r="H30" s="8">
        <v>3.03</v>
      </c>
      <c r="I30" s="12">
        <v>0</v>
      </c>
    </row>
    <row r="31" spans="2:9" ht="15" customHeight="1" x14ac:dyDescent="0.2">
      <c r="B31" t="s">
        <v>100</v>
      </c>
      <c r="C31" s="12">
        <v>6</v>
      </c>
      <c r="D31" s="8">
        <v>3.13</v>
      </c>
      <c r="E31" s="12">
        <v>3</v>
      </c>
      <c r="F31" s="8">
        <v>2.48</v>
      </c>
      <c r="G31" s="12">
        <v>3</v>
      </c>
      <c r="H31" s="8">
        <v>4.55</v>
      </c>
      <c r="I31" s="12">
        <v>0</v>
      </c>
    </row>
    <row r="32" spans="2:9" ht="15" customHeight="1" x14ac:dyDescent="0.2">
      <c r="B32" t="s">
        <v>119</v>
      </c>
      <c r="C32" s="12">
        <v>6</v>
      </c>
      <c r="D32" s="8">
        <v>3.13</v>
      </c>
      <c r="E32" s="12">
        <v>2</v>
      </c>
      <c r="F32" s="8">
        <v>1.65</v>
      </c>
      <c r="G32" s="12">
        <v>4</v>
      </c>
      <c r="H32" s="8">
        <v>6.06</v>
      </c>
      <c r="I32" s="12">
        <v>0</v>
      </c>
    </row>
    <row r="33" spans="2:9" ht="15" customHeight="1" x14ac:dyDescent="0.2">
      <c r="B33" t="s">
        <v>116</v>
      </c>
      <c r="C33" s="12">
        <v>6</v>
      </c>
      <c r="D33" s="8">
        <v>3.13</v>
      </c>
      <c r="E33" s="12">
        <v>0</v>
      </c>
      <c r="F33" s="8">
        <v>0</v>
      </c>
      <c r="G33" s="12">
        <v>4</v>
      </c>
      <c r="H33" s="8">
        <v>6.06</v>
      </c>
      <c r="I33" s="12">
        <v>0</v>
      </c>
    </row>
    <row r="34" spans="2:9" ht="15" customHeight="1" x14ac:dyDescent="0.2">
      <c r="B34" t="s">
        <v>136</v>
      </c>
      <c r="C34" s="12">
        <v>5</v>
      </c>
      <c r="D34" s="8">
        <v>2.6</v>
      </c>
      <c r="E34" s="12">
        <v>2</v>
      </c>
      <c r="F34" s="8">
        <v>1.65</v>
      </c>
      <c r="G34" s="12">
        <v>3</v>
      </c>
      <c r="H34" s="8">
        <v>4.55</v>
      </c>
      <c r="I34" s="12">
        <v>0</v>
      </c>
    </row>
    <row r="35" spans="2:9" ht="15" customHeight="1" x14ac:dyDescent="0.2">
      <c r="B35" t="s">
        <v>104</v>
      </c>
      <c r="C35" s="12">
        <v>5</v>
      </c>
      <c r="D35" s="8">
        <v>2.6</v>
      </c>
      <c r="E35" s="12">
        <v>4</v>
      </c>
      <c r="F35" s="8">
        <v>3.31</v>
      </c>
      <c r="G35" s="12">
        <v>1</v>
      </c>
      <c r="H35" s="8">
        <v>1.52</v>
      </c>
      <c r="I35" s="12">
        <v>0</v>
      </c>
    </row>
    <row r="36" spans="2:9" ht="15" customHeight="1" x14ac:dyDescent="0.2">
      <c r="B36" t="s">
        <v>106</v>
      </c>
      <c r="C36" s="12">
        <v>5</v>
      </c>
      <c r="D36" s="8">
        <v>2.6</v>
      </c>
      <c r="E36" s="12">
        <v>5</v>
      </c>
      <c r="F36" s="8">
        <v>4.13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111</v>
      </c>
      <c r="C37" s="12">
        <v>5</v>
      </c>
      <c r="D37" s="8">
        <v>2.6</v>
      </c>
      <c r="E37" s="12">
        <v>4</v>
      </c>
      <c r="F37" s="8">
        <v>3.31</v>
      </c>
      <c r="G37" s="12">
        <v>1</v>
      </c>
      <c r="H37" s="8">
        <v>1.52</v>
      </c>
      <c r="I37" s="12">
        <v>0</v>
      </c>
    </row>
    <row r="38" spans="2:9" ht="15" customHeight="1" x14ac:dyDescent="0.2">
      <c r="B38" t="s">
        <v>121</v>
      </c>
      <c r="C38" s="12">
        <v>5</v>
      </c>
      <c r="D38" s="8">
        <v>2.6</v>
      </c>
      <c r="E38" s="12">
        <v>2</v>
      </c>
      <c r="F38" s="8">
        <v>1.65</v>
      </c>
      <c r="G38" s="12">
        <v>2</v>
      </c>
      <c r="H38" s="8">
        <v>3.03</v>
      </c>
      <c r="I38" s="12">
        <v>0</v>
      </c>
    </row>
    <row r="39" spans="2:9" ht="15" customHeight="1" x14ac:dyDescent="0.2">
      <c r="B39" t="s">
        <v>114</v>
      </c>
      <c r="C39" s="12">
        <v>5</v>
      </c>
      <c r="D39" s="8">
        <v>2.6</v>
      </c>
      <c r="E39" s="12">
        <v>1</v>
      </c>
      <c r="F39" s="8">
        <v>0.83</v>
      </c>
      <c r="G39" s="12">
        <v>3</v>
      </c>
      <c r="H39" s="8">
        <v>4.55</v>
      </c>
      <c r="I39" s="12">
        <v>0</v>
      </c>
    </row>
    <row r="40" spans="2:9" ht="15" customHeight="1" x14ac:dyDescent="0.2">
      <c r="B40" t="s">
        <v>115</v>
      </c>
      <c r="C40" s="12">
        <v>5</v>
      </c>
      <c r="D40" s="8">
        <v>2.6</v>
      </c>
      <c r="E40" s="12">
        <v>5</v>
      </c>
      <c r="F40" s="8">
        <v>4.13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101</v>
      </c>
      <c r="C41" s="12">
        <v>4</v>
      </c>
      <c r="D41" s="8">
        <v>2.08</v>
      </c>
      <c r="E41" s="12">
        <v>3</v>
      </c>
      <c r="F41" s="8">
        <v>2.48</v>
      </c>
      <c r="G41" s="12">
        <v>1</v>
      </c>
      <c r="H41" s="8">
        <v>1.52</v>
      </c>
      <c r="I41" s="12">
        <v>0</v>
      </c>
    </row>
    <row r="42" spans="2:9" ht="15" customHeight="1" x14ac:dyDescent="0.2">
      <c r="B42" t="s">
        <v>109</v>
      </c>
      <c r="C42" s="12">
        <v>3</v>
      </c>
      <c r="D42" s="8">
        <v>1.56</v>
      </c>
      <c r="E42" s="12">
        <v>1</v>
      </c>
      <c r="F42" s="8">
        <v>0.83</v>
      </c>
      <c r="G42" s="12">
        <v>1</v>
      </c>
      <c r="H42" s="8">
        <v>1.52</v>
      </c>
      <c r="I42" s="12">
        <v>0</v>
      </c>
    </row>
    <row r="43" spans="2:9" ht="15" customHeight="1" x14ac:dyDescent="0.2">
      <c r="B43" t="s">
        <v>130</v>
      </c>
      <c r="C43" s="12">
        <v>2</v>
      </c>
      <c r="D43" s="8">
        <v>1.04</v>
      </c>
      <c r="E43" s="12">
        <v>1</v>
      </c>
      <c r="F43" s="8">
        <v>0.83</v>
      </c>
      <c r="G43" s="12">
        <v>1</v>
      </c>
      <c r="H43" s="8">
        <v>1.52</v>
      </c>
      <c r="I43" s="12">
        <v>0</v>
      </c>
    </row>
    <row r="44" spans="2:9" ht="15" customHeight="1" x14ac:dyDescent="0.2">
      <c r="B44" t="s">
        <v>131</v>
      </c>
      <c r="C44" s="12">
        <v>2</v>
      </c>
      <c r="D44" s="8">
        <v>1.04</v>
      </c>
      <c r="E44" s="12">
        <v>1</v>
      </c>
      <c r="F44" s="8">
        <v>0.83</v>
      </c>
      <c r="G44" s="12">
        <v>1</v>
      </c>
      <c r="H44" s="8">
        <v>1.52</v>
      </c>
      <c r="I44" s="12">
        <v>0</v>
      </c>
    </row>
    <row r="45" spans="2:9" ht="15" customHeight="1" x14ac:dyDescent="0.2">
      <c r="B45" t="s">
        <v>132</v>
      </c>
      <c r="C45" s="12">
        <v>2</v>
      </c>
      <c r="D45" s="8">
        <v>1.04</v>
      </c>
      <c r="E45" s="12">
        <v>1</v>
      </c>
      <c r="F45" s="8">
        <v>0.83</v>
      </c>
      <c r="G45" s="12">
        <v>1</v>
      </c>
      <c r="H45" s="8">
        <v>1.52</v>
      </c>
      <c r="I45" s="12">
        <v>0</v>
      </c>
    </row>
    <row r="46" spans="2:9" ht="15" customHeight="1" x14ac:dyDescent="0.2">
      <c r="B46" t="s">
        <v>102</v>
      </c>
      <c r="C46" s="12">
        <v>2</v>
      </c>
      <c r="D46" s="8">
        <v>1.04</v>
      </c>
      <c r="E46" s="12">
        <v>1</v>
      </c>
      <c r="F46" s="8">
        <v>0.83</v>
      </c>
      <c r="G46" s="12">
        <v>1</v>
      </c>
      <c r="H46" s="8">
        <v>1.52</v>
      </c>
      <c r="I46" s="12">
        <v>0</v>
      </c>
    </row>
    <row r="47" spans="2:9" ht="15" customHeight="1" x14ac:dyDescent="0.2">
      <c r="B47" t="s">
        <v>103</v>
      </c>
      <c r="C47" s="12">
        <v>2</v>
      </c>
      <c r="D47" s="8">
        <v>1.04</v>
      </c>
      <c r="E47" s="12">
        <v>1</v>
      </c>
      <c r="F47" s="8">
        <v>0.83</v>
      </c>
      <c r="G47" s="12">
        <v>1</v>
      </c>
      <c r="H47" s="8">
        <v>1.52</v>
      </c>
      <c r="I47" s="12">
        <v>0</v>
      </c>
    </row>
    <row r="48" spans="2:9" ht="15" customHeight="1" x14ac:dyDescent="0.2">
      <c r="B48" t="s">
        <v>126</v>
      </c>
      <c r="C48" s="12">
        <v>2</v>
      </c>
      <c r="D48" s="8">
        <v>1.04</v>
      </c>
      <c r="E48" s="12">
        <v>0</v>
      </c>
      <c r="F48" s="8">
        <v>0</v>
      </c>
      <c r="G48" s="12">
        <v>2</v>
      </c>
      <c r="H48" s="8">
        <v>3.03</v>
      </c>
      <c r="I48" s="12">
        <v>0</v>
      </c>
    </row>
    <row r="49" spans="2:9" ht="15" customHeight="1" x14ac:dyDescent="0.2">
      <c r="B49" t="s">
        <v>108</v>
      </c>
      <c r="C49" s="12">
        <v>2</v>
      </c>
      <c r="D49" s="8">
        <v>1.04</v>
      </c>
      <c r="E49" s="12">
        <v>1</v>
      </c>
      <c r="F49" s="8">
        <v>0.83</v>
      </c>
      <c r="G49" s="12">
        <v>1</v>
      </c>
      <c r="H49" s="8">
        <v>1.52</v>
      </c>
      <c r="I49" s="12">
        <v>0</v>
      </c>
    </row>
    <row r="50" spans="2:9" ht="15" customHeight="1" x14ac:dyDescent="0.2">
      <c r="B50" t="s">
        <v>110</v>
      </c>
      <c r="C50" s="12">
        <v>2</v>
      </c>
      <c r="D50" s="8">
        <v>1.04</v>
      </c>
      <c r="E50" s="12">
        <v>0</v>
      </c>
      <c r="F50" s="8">
        <v>0</v>
      </c>
      <c r="G50" s="12">
        <v>2</v>
      </c>
      <c r="H50" s="8">
        <v>3.03</v>
      </c>
      <c r="I50" s="12">
        <v>0</v>
      </c>
    </row>
    <row r="51" spans="2:9" ht="15" customHeight="1" x14ac:dyDescent="0.2">
      <c r="B51" t="s">
        <v>127</v>
      </c>
      <c r="C51" s="12">
        <v>2</v>
      </c>
      <c r="D51" s="8">
        <v>1.04</v>
      </c>
      <c r="E51" s="12">
        <v>2</v>
      </c>
      <c r="F51" s="8">
        <v>1.65</v>
      </c>
      <c r="G51" s="12">
        <v>0</v>
      </c>
      <c r="H51" s="8">
        <v>0</v>
      </c>
      <c r="I51" s="12">
        <v>0</v>
      </c>
    </row>
    <row r="54" spans="2:9" ht="33" customHeight="1" x14ac:dyDescent="0.2">
      <c r="B54" t="s">
        <v>287</v>
      </c>
      <c r="C54" s="10" t="s">
        <v>91</v>
      </c>
      <c r="D54" s="10" t="s">
        <v>92</v>
      </c>
      <c r="E54" s="10" t="s">
        <v>93</v>
      </c>
      <c r="F54" s="10" t="s">
        <v>94</v>
      </c>
      <c r="G54" s="10" t="s">
        <v>95</v>
      </c>
      <c r="H54" s="10" t="s">
        <v>96</v>
      </c>
      <c r="I54" s="10" t="s">
        <v>97</v>
      </c>
    </row>
    <row r="55" spans="2:9" ht="15" customHeight="1" x14ac:dyDescent="0.2">
      <c r="B55" t="s">
        <v>154</v>
      </c>
      <c r="C55" s="12">
        <v>12</v>
      </c>
      <c r="D55" s="8">
        <v>6.25</v>
      </c>
      <c r="E55" s="12">
        <v>4</v>
      </c>
      <c r="F55" s="8">
        <v>3.31</v>
      </c>
      <c r="G55" s="12">
        <v>8</v>
      </c>
      <c r="H55" s="8">
        <v>12.12</v>
      </c>
      <c r="I55" s="12">
        <v>0</v>
      </c>
    </row>
    <row r="56" spans="2:9" ht="15" customHeight="1" x14ac:dyDescent="0.2">
      <c r="B56" t="s">
        <v>169</v>
      </c>
      <c r="C56" s="12">
        <v>12</v>
      </c>
      <c r="D56" s="8">
        <v>6.25</v>
      </c>
      <c r="E56" s="12">
        <v>11</v>
      </c>
      <c r="F56" s="8">
        <v>9.09</v>
      </c>
      <c r="G56" s="12">
        <v>1</v>
      </c>
      <c r="H56" s="8">
        <v>1.52</v>
      </c>
      <c r="I56" s="12">
        <v>0</v>
      </c>
    </row>
    <row r="57" spans="2:9" ht="15" customHeight="1" x14ac:dyDescent="0.2">
      <c r="B57" t="s">
        <v>170</v>
      </c>
      <c r="C57" s="12">
        <v>10</v>
      </c>
      <c r="D57" s="8">
        <v>5.21</v>
      </c>
      <c r="E57" s="12">
        <v>10</v>
      </c>
      <c r="F57" s="8">
        <v>8.26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173</v>
      </c>
      <c r="C58" s="12">
        <v>7</v>
      </c>
      <c r="D58" s="8">
        <v>3.65</v>
      </c>
      <c r="E58" s="12">
        <v>6</v>
      </c>
      <c r="F58" s="8">
        <v>4.96</v>
      </c>
      <c r="G58" s="12">
        <v>1</v>
      </c>
      <c r="H58" s="8">
        <v>1.52</v>
      </c>
      <c r="I58" s="12">
        <v>0</v>
      </c>
    </row>
    <row r="59" spans="2:9" ht="15" customHeight="1" x14ac:dyDescent="0.2">
      <c r="B59" t="s">
        <v>181</v>
      </c>
      <c r="C59" s="12">
        <v>6</v>
      </c>
      <c r="D59" s="8">
        <v>3.13</v>
      </c>
      <c r="E59" s="12">
        <v>6</v>
      </c>
      <c r="F59" s="8">
        <v>4.96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205</v>
      </c>
      <c r="C60" s="12">
        <v>6</v>
      </c>
      <c r="D60" s="8">
        <v>3.13</v>
      </c>
      <c r="E60" s="12">
        <v>1</v>
      </c>
      <c r="F60" s="8">
        <v>0.83</v>
      </c>
      <c r="G60" s="12">
        <v>5</v>
      </c>
      <c r="H60" s="8">
        <v>7.58</v>
      </c>
      <c r="I60" s="12">
        <v>0</v>
      </c>
    </row>
    <row r="61" spans="2:9" ht="15" customHeight="1" x14ac:dyDescent="0.2">
      <c r="B61" t="s">
        <v>180</v>
      </c>
      <c r="C61" s="12">
        <v>5</v>
      </c>
      <c r="D61" s="8">
        <v>2.6</v>
      </c>
      <c r="E61" s="12">
        <v>1</v>
      </c>
      <c r="F61" s="8">
        <v>0.83</v>
      </c>
      <c r="G61" s="12">
        <v>4</v>
      </c>
      <c r="H61" s="8">
        <v>6.06</v>
      </c>
      <c r="I61" s="12">
        <v>0</v>
      </c>
    </row>
    <row r="62" spans="2:9" ht="15" customHeight="1" x14ac:dyDescent="0.2">
      <c r="B62" t="s">
        <v>156</v>
      </c>
      <c r="C62" s="12">
        <v>4</v>
      </c>
      <c r="D62" s="8">
        <v>2.08</v>
      </c>
      <c r="E62" s="12">
        <v>2</v>
      </c>
      <c r="F62" s="8">
        <v>1.65</v>
      </c>
      <c r="G62" s="12">
        <v>2</v>
      </c>
      <c r="H62" s="8">
        <v>3.03</v>
      </c>
      <c r="I62" s="12">
        <v>0</v>
      </c>
    </row>
    <row r="63" spans="2:9" ht="15" customHeight="1" x14ac:dyDescent="0.2">
      <c r="B63" t="s">
        <v>204</v>
      </c>
      <c r="C63" s="12">
        <v>4</v>
      </c>
      <c r="D63" s="8">
        <v>2.08</v>
      </c>
      <c r="E63" s="12">
        <v>0</v>
      </c>
      <c r="F63" s="8">
        <v>0</v>
      </c>
      <c r="G63" s="12">
        <v>4</v>
      </c>
      <c r="H63" s="8">
        <v>6.06</v>
      </c>
      <c r="I63" s="12">
        <v>0</v>
      </c>
    </row>
    <row r="64" spans="2:9" ht="15" customHeight="1" x14ac:dyDescent="0.2">
      <c r="B64" t="s">
        <v>232</v>
      </c>
      <c r="C64" s="12">
        <v>3</v>
      </c>
      <c r="D64" s="8">
        <v>1.56</v>
      </c>
      <c r="E64" s="12">
        <v>2</v>
      </c>
      <c r="F64" s="8">
        <v>1.65</v>
      </c>
      <c r="G64" s="12">
        <v>1</v>
      </c>
      <c r="H64" s="8">
        <v>1.52</v>
      </c>
      <c r="I64" s="12">
        <v>0</v>
      </c>
    </row>
    <row r="65" spans="2:9" ht="15" customHeight="1" x14ac:dyDescent="0.2">
      <c r="B65" t="s">
        <v>155</v>
      </c>
      <c r="C65" s="12">
        <v>3</v>
      </c>
      <c r="D65" s="8">
        <v>1.56</v>
      </c>
      <c r="E65" s="12">
        <v>0</v>
      </c>
      <c r="F65" s="8">
        <v>0</v>
      </c>
      <c r="G65" s="12">
        <v>3</v>
      </c>
      <c r="H65" s="8">
        <v>4.55</v>
      </c>
      <c r="I65" s="12">
        <v>0</v>
      </c>
    </row>
    <row r="66" spans="2:9" ht="15" customHeight="1" x14ac:dyDescent="0.2">
      <c r="B66" t="s">
        <v>266</v>
      </c>
      <c r="C66" s="12">
        <v>3</v>
      </c>
      <c r="D66" s="8">
        <v>1.56</v>
      </c>
      <c r="E66" s="12">
        <v>3</v>
      </c>
      <c r="F66" s="8">
        <v>2.48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262</v>
      </c>
      <c r="C67" s="12">
        <v>3</v>
      </c>
      <c r="D67" s="8">
        <v>1.56</v>
      </c>
      <c r="E67" s="12">
        <v>3</v>
      </c>
      <c r="F67" s="8">
        <v>2.48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267</v>
      </c>
      <c r="C68" s="12">
        <v>3</v>
      </c>
      <c r="D68" s="8">
        <v>1.56</v>
      </c>
      <c r="E68" s="12">
        <v>3</v>
      </c>
      <c r="F68" s="8">
        <v>2.48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177</v>
      </c>
      <c r="C69" s="12">
        <v>3</v>
      </c>
      <c r="D69" s="8">
        <v>1.56</v>
      </c>
      <c r="E69" s="12">
        <v>3</v>
      </c>
      <c r="F69" s="8">
        <v>2.48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158</v>
      </c>
      <c r="C70" s="12">
        <v>3</v>
      </c>
      <c r="D70" s="8">
        <v>1.56</v>
      </c>
      <c r="E70" s="12">
        <v>3</v>
      </c>
      <c r="F70" s="8">
        <v>2.48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159</v>
      </c>
      <c r="C71" s="12">
        <v>3</v>
      </c>
      <c r="D71" s="8">
        <v>1.56</v>
      </c>
      <c r="E71" s="12">
        <v>3</v>
      </c>
      <c r="F71" s="8">
        <v>2.48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212</v>
      </c>
      <c r="C72" s="12">
        <v>3</v>
      </c>
      <c r="D72" s="8">
        <v>1.56</v>
      </c>
      <c r="E72" s="12">
        <v>3</v>
      </c>
      <c r="F72" s="8">
        <v>2.48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164</v>
      </c>
      <c r="C73" s="12">
        <v>3</v>
      </c>
      <c r="D73" s="8">
        <v>1.56</v>
      </c>
      <c r="E73" s="12">
        <v>1</v>
      </c>
      <c r="F73" s="8">
        <v>0.83</v>
      </c>
      <c r="G73" s="12">
        <v>1</v>
      </c>
      <c r="H73" s="8">
        <v>1.52</v>
      </c>
      <c r="I73" s="12">
        <v>0</v>
      </c>
    </row>
    <row r="74" spans="2:9" ht="15" customHeight="1" x14ac:dyDescent="0.2">
      <c r="B74" t="s">
        <v>166</v>
      </c>
      <c r="C74" s="12">
        <v>3</v>
      </c>
      <c r="D74" s="8">
        <v>1.56</v>
      </c>
      <c r="E74" s="12">
        <v>3</v>
      </c>
      <c r="F74" s="8">
        <v>2.48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218</v>
      </c>
      <c r="C75" s="12">
        <v>3</v>
      </c>
      <c r="D75" s="8">
        <v>1.56</v>
      </c>
      <c r="E75" s="12">
        <v>0</v>
      </c>
      <c r="F75" s="8">
        <v>0</v>
      </c>
      <c r="G75" s="12">
        <v>2</v>
      </c>
      <c r="H75" s="8">
        <v>3.03</v>
      </c>
      <c r="I75" s="12">
        <v>0</v>
      </c>
    </row>
    <row r="76" spans="2:9" ht="15" customHeight="1" x14ac:dyDescent="0.2">
      <c r="B76" t="s">
        <v>182</v>
      </c>
      <c r="C76" s="12">
        <v>3</v>
      </c>
      <c r="D76" s="8">
        <v>1.56</v>
      </c>
      <c r="E76" s="12">
        <v>3</v>
      </c>
      <c r="F76" s="8">
        <v>2.48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172</v>
      </c>
      <c r="C77" s="12">
        <v>3</v>
      </c>
      <c r="D77" s="8">
        <v>1.56</v>
      </c>
      <c r="E77" s="12">
        <v>3</v>
      </c>
      <c r="F77" s="8">
        <v>2.48</v>
      </c>
      <c r="G77" s="12">
        <v>0</v>
      </c>
      <c r="H77" s="8">
        <v>0</v>
      </c>
      <c r="I77" s="12">
        <v>0</v>
      </c>
    </row>
    <row r="79" spans="2:9" ht="15" customHeight="1" x14ac:dyDescent="0.2">
      <c r="B79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F1D74-96D4-40FA-9FCF-434A105188CF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352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36</v>
      </c>
      <c r="D6" s="8">
        <v>16.29</v>
      </c>
      <c r="E6" s="12">
        <v>8</v>
      </c>
      <c r="F6" s="8">
        <v>5.41</v>
      </c>
      <c r="G6" s="12">
        <v>28</v>
      </c>
      <c r="H6" s="8">
        <v>41.79</v>
      </c>
      <c r="I6" s="12">
        <v>0</v>
      </c>
    </row>
    <row r="7" spans="2:9" ht="15" customHeight="1" x14ac:dyDescent="0.2">
      <c r="B7" t="s">
        <v>77</v>
      </c>
      <c r="C7" s="12">
        <v>19</v>
      </c>
      <c r="D7" s="8">
        <v>8.6</v>
      </c>
      <c r="E7" s="12">
        <v>12</v>
      </c>
      <c r="F7" s="8">
        <v>8.11</v>
      </c>
      <c r="G7" s="12">
        <v>7</v>
      </c>
      <c r="H7" s="8">
        <v>10.45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0.45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80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81</v>
      </c>
      <c r="C11" s="12">
        <v>71</v>
      </c>
      <c r="D11" s="8">
        <v>32.130000000000003</v>
      </c>
      <c r="E11" s="12">
        <v>62</v>
      </c>
      <c r="F11" s="8">
        <v>41.89</v>
      </c>
      <c r="G11" s="12">
        <v>9</v>
      </c>
      <c r="H11" s="8">
        <v>13.43</v>
      </c>
      <c r="I11" s="12">
        <v>0</v>
      </c>
    </row>
    <row r="12" spans="2:9" ht="15" customHeight="1" x14ac:dyDescent="0.2">
      <c r="B12" t="s">
        <v>82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83</v>
      </c>
      <c r="C13" s="12">
        <v>6</v>
      </c>
      <c r="D13" s="8">
        <v>2.71</v>
      </c>
      <c r="E13" s="12">
        <v>3</v>
      </c>
      <c r="F13" s="8">
        <v>2.0299999999999998</v>
      </c>
      <c r="G13" s="12">
        <v>2</v>
      </c>
      <c r="H13" s="8">
        <v>2.99</v>
      </c>
      <c r="I13" s="12">
        <v>0</v>
      </c>
    </row>
    <row r="14" spans="2:9" ht="15" customHeight="1" x14ac:dyDescent="0.2">
      <c r="B14" t="s">
        <v>84</v>
      </c>
      <c r="C14" s="12">
        <v>6</v>
      </c>
      <c r="D14" s="8">
        <v>2.71</v>
      </c>
      <c r="E14" s="12">
        <v>3</v>
      </c>
      <c r="F14" s="8">
        <v>2.0299999999999998</v>
      </c>
      <c r="G14" s="12">
        <v>3</v>
      </c>
      <c r="H14" s="8">
        <v>4.4800000000000004</v>
      </c>
      <c r="I14" s="12">
        <v>0</v>
      </c>
    </row>
    <row r="15" spans="2:9" ht="15" customHeight="1" x14ac:dyDescent="0.2">
      <c r="B15" t="s">
        <v>85</v>
      </c>
      <c r="C15" s="12">
        <v>27</v>
      </c>
      <c r="D15" s="8">
        <v>12.22</v>
      </c>
      <c r="E15" s="12">
        <v>21</v>
      </c>
      <c r="F15" s="8">
        <v>14.19</v>
      </c>
      <c r="G15" s="12">
        <v>6</v>
      </c>
      <c r="H15" s="8">
        <v>8.9600000000000009</v>
      </c>
      <c r="I15" s="12">
        <v>0</v>
      </c>
    </row>
    <row r="16" spans="2:9" ht="15" customHeight="1" x14ac:dyDescent="0.2">
      <c r="B16" t="s">
        <v>86</v>
      </c>
      <c r="C16" s="12">
        <v>23</v>
      </c>
      <c r="D16" s="8">
        <v>10.41</v>
      </c>
      <c r="E16" s="12">
        <v>22</v>
      </c>
      <c r="F16" s="8">
        <v>14.86</v>
      </c>
      <c r="G16" s="12">
        <v>1</v>
      </c>
      <c r="H16" s="8">
        <v>1.49</v>
      </c>
      <c r="I16" s="12">
        <v>0</v>
      </c>
    </row>
    <row r="17" spans="2:9" ht="15" customHeight="1" x14ac:dyDescent="0.2">
      <c r="B17" t="s">
        <v>87</v>
      </c>
      <c r="C17" s="12">
        <v>1</v>
      </c>
      <c r="D17" s="8">
        <v>0.45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88</v>
      </c>
      <c r="C18" s="12">
        <v>19</v>
      </c>
      <c r="D18" s="8">
        <v>8.6</v>
      </c>
      <c r="E18" s="12">
        <v>6</v>
      </c>
      <c r="F18" s="8">
        <v>4.05</v>
      </c>
      <c r="G18" s="12">
        <v>10</v>
      </c>
      <c r="H18" s="8">
        <v>14.93</v>
      </c>
      <c r="I18" s="12">
        <v>1</v>
      </c>
    </row>
    <row r="19" spans="2:9" ht="15" customHeight="1" x14ac:dyDescent="0.2">
      <c r="B19" t="s">
        <v>89</v>
      </c>
      <c r="C19" s="12">
        <v>12</v>
      </c>
      <c r="D19" s="8">
        <v>5.43</v>
      </c>
      <c r="E19" s="12">
        <v>11</v>
      </c>
      <c r="F19" s="8">
        <v>7.43</v>
      </c>
      <c r="G19" s="12">
        <v>1</v>
      </c>
      <c r="H19" s="8">
        <v>1.49</v>
      </c>
      <c r="I19" s="12">
        <v>0</v>
      </c>
    </row>
    <row r="20" spans="2:9" ht="15" customHeight="1" x14ac:dyDescent="0.2">
      <c r="B20" s="9" t="s">
        <v>285</v>
      </c>
      <c r="C20" s="12">
        <f>SUM(LTBL_40602[総数／事業所数])</f>
        <v>221</v>
      </c>
      <c r="E20" s="12">
        <f>SUBTOTAL(109,LTBL_40602[個人／事業所数])</f>
        <v>148</v>
      </c>
      <c r="G20" s="12">
        <f>SUBTOTAL(109,LTBL_40602[法人／事業所数])</f>
        <v>67</v>
      </c>
      <c r="I20" s="12">
        <f>SUBTOTAL(109,LTBL_40602[法人以外の団体／事業所数])</f>
        <v>1</v>
      </c>
    </row>
    <row r="21" spans="2:9" ht="15" customHeight="1" x14ac:dyDescent="0.2">
      <c r="E21" s="11">
        <f>LTBL_40602[[#Totals],[個人／事業所数]]/LTBL_40602[[#Totals],[総数／事業所数]]</f>
        <v>0.66968325791855199</v>
      </c>
      <c r="G21" s="11">
        <f>LTBL_40602[[#Totals],[法人／事業所数]]/LTBL_40602[[#Totals],[総数／事業所数]]</f>
        <v>0.30316742081447962</v>
      </c>
      <c r="I21" s="11">
        <f>LTBL_40602[[#Totals],[法人以外の団体／事業所数]]/LTBL_40602[[#Totals],[総数／事業所数]]</f>
        <v>4.5248868778280547E-3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98</v>
      </c>
      <c r="C24" s="12">
        <v>26</v>
      </c>
      <c r="D24" s="8">
        <v>11.76</v>
      </c>
      <c r="E24" s="12">
        <v>3</v>
      </c>
      <c r="F24" s="8">
        <v>2.0299999999999998</v>
      </c>
      <c r="G24" s="12">
        <v>23</v>
      </c>
      <c r="H24" s="8">
        <v>34.33</v>
      </c>
      <c r="I24" s="12">
        <v>0</v>
      </c>
    </row>
    <row r="25" spans="2:9" ht="15" customHeight="1" x14ac:dyDescent="0.2">
      <c r="B25" t="s">
        <v>107</v>
      </c>
      <c r="C25" s="12">
        <v>25</v>
      </c>
      <c r="D25" s="8">
        <v>11.31</v>
      </c>
      <c r="E25" s="12">
        <v>20</v>
      </c>
      <c r="F25" s="8">
        <v>13.51</v>
      </c>
      <c r="G25" s="12">
        <v>5</v>
      </c>
      <c r="H25" s="8">
        <v>7.46</v>
      </c>
      <c r="I25" s="12">
        <v>0</v>
      </c>
    </row>
    <row r="26" spans="2:9" ht="15" customHeight="1" x14ac:dyDescent="0.2">
      <c r="B26" t="s">
        <v>112</v>
      </c>
      <c r="C26" s="12">
        <v>24</v>
      </c>
      <c r="D26" s="8">
        <v>10.86</v>
      </c>
      <c r="E26" s="12">
        <v>21</v>
      </c>
      <c r="F26" s="8">
        <v>14.19</v>
      </c>
      <c r="G26" s="12">
        <v>3</v>
      </c>
      <c r="H26" s="8">
        <v>4.4800000000000004</v>
      </c>
      <c r="I26" s="12">
        <v>0</v>
      </c>
    </row>
    <row r="27" spans="2:9" ht="15" customHeight="1" x14ac:dyDescent="0.2">
      <c r="B27" t="s">
        <v>105</v>
      </c>
      <c r="C27" s="12">
        <v>23</v>
      </c>
      <c r="D27" s="8">
        <v>10.41</v>
      </c>
      <c r="E27" s="12">
        <v>22</v>
      </c>
      <c r="F27" s="8">
        <v>14.86</v>
      </c>
      <c r="G27" s="12">
        <v>1</v>
      </c>
      <c r="H27" s="8">
        <v>1.49</v>
      </c>
      <c r="I27" s="12">
        <v>0</v>
      </c>
    </row>
    <row r="28" spans="2:9" ht="15" customHeight="1" x14ac:dyDescent="0.2">
      <c r="B28" t="s">
        <v>113</v>
      </c>
      <c r="C28" s="12">
        <v>19</v>
      </c>
      <c r="D28" s="8">
        <v>8.6</v>
      </c>
      <c r="E28" s="12">
        <v>19</v>
      </c>
      <c r="F28" s="8">
        <v>12.84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116</v>
      </c>
      <c r="C29" s="12">
        <v>13</v>
      </c>
      <c r="D29" s="8">
        <v>5.88</v>
      </c>
      <c r="E29" s="12">
        <v>0</v>
      </c>
      <c r="F29" s="8">
        <v>0</v>
      </c>
      <c r="G29" s="12">
        <v>10</v>
      </c>
      <c r="H29" s="8">
        <v>14.93</v>
      </c>
      <c r="I29" s="12">
        <v>1</v>
      </c>
    </row>
    <row r="30" spans="2:9" ht="15" customHeight="1" x14ac:dyDescent="0.2">
      <c r="B30" t="s">
        <v>104</v>
      </c>
      <c r="C30" s="12">
        <v>7</v>
      </c>
      <c r="D30" s="8">
        <v>3.17</v>
      </c>
      <c r="E30" s="12">
        <v>7</v>
      </c>
      <c r="F30" s="8">
        <v>4.7300000000000004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106</v>
      </c>
      <c r="C31" s="12">
        <v>7</v>
      </c>
      <c r="D31" s="8">
        <v>3.17</v>
      </c>
      <c r="E31" s="12">
        <v>6</v>
      </c>
      <c r="F31" s="8">
        <v>4.05</v>
      </c>
      <c r="G31" s="12">
        <v>1</v>
      </c>
      <c r="H31" s="8">
        <v>1.49</v>
      </c>
      <c r="I31" s="12">
        <v>0</v>
      </c>
    </row>
    <row r="32" spans="2:9" ht="15" customHeight="1" x14ac:dyDescent="0.2">
      <c r="B32" t="s">
        <v>100</v>
      </c>
      <c r="C32" s="12">
        <v>6</v>
      </c>
      <c r="D32" s="8">
        <v>2.71</v>
      </c>
      <c r="E32" s="12">
        <v>2</v>
      </c>
      <c r="F32" s="8">
        <v>1.35</v>
      </c>
      <c r="G32" s="12">
        <v>4</v>
      </c>
      <c r="H32" s="8">
        <v>5.97</v>
      </c>
      <c r="I32" s="12">
        <v>0</v>
      </c>
    </row>
    <row r="33" spans="2:9" ht="15" customHeight="1" x14ac:dyDescent="0.2">
      <c r="B33" t="s">
        <v>109</v>
      </c>
      <c r="C33" s="12">
        <v>6</v>
      </c>
      <c r="D33" s="8">
        <v>2.71</v>
      </c>
      <c r="E33" s="12">
        <v>3</v>
      </c>
      <c r="F33" s="8">
        <v>2.0299999999999998</v>
      </c>
      <c r="G33" s="12">
        <v>2</v>
      </c>
      <c r="H33" s="8">
        <v>2.99</v>
      </c>
      <c r="I33" s="12">
        <v>0</v>
      </c>
    </row>
    <row r="34" spans="2:9" ht="15" customHeight="1" x14ac:dyDescent="0.2">
      <c r="B34" t="s">
        <v>115</v>
      </c>
      <c r="C34" s="12">
        <v>6</v>
      </c>
      <c r="D34" s="8">
        <v>2.71</v>
      </c>
      <c r="E34" s="12">
        <v>6</v>
      </c>
      <c r="F34" s="8">
        <v>4.05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117</v>
      </c>
      <c r="C35" s="12">
        <v>6</v>
      </c>
      <c r="D35" s="8">
        <v>2.71</v>
      </c>
      <c r="E35" s="12">
        <v>6</v>
      </c>
      <c r="F35" s="8">
        <v>4.05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111</v>
      </c>
      <c r="C36" s="12">
        <v>5</v>
      </c>
      <c r="D36" s="8">
        <v>2.2599999999999998</v>
      </c>
      <c r="E36" s="12">
        <v>3</v>
      </c>
      <c r="F36" s="8">
        <v>2.0299999999999998</v>
      </c>
      <c r="G36" s="12">
        <v>2</v>
      </c>
      <c r="H36" s="8">
        <v>2.99</v>
      </c>
      <c r="I36" s="12">
        <v>0</v>
      </c>
    </row>
    <row r="37" spans="2:9" ht="15" customHeight="1" x14ac:dyDescent="0.2">
      <c r="B37" t="s">
        <v>99</v>
      </c>
      <c r="C37" s="12">
        <v>4</v>
      </c>
      <c r="D37" s="8">
        <v>1.81</v>
      </c>
      <c r="E37" s="12">
        <v>3</v>
      </c>
      <c r="F37" s="8">
        <v>2.0299999999999998</v>
      </c>
      <c r="G37" s="12">
        <v>1</v>
      </c>
      <c r="H37" s="8">
        <v>1.49</v>
      </c>
      <c r="I37" s="12">
        <v>0</v>
      </c>
    </row>
    <row r="38" spans="2:9" ht="15" customHeight="1" x14ac:dyDescent="0.2">
      <c r="B38" t="s">
        <v>130</v>
      </c>
      <c r="C38" s="12">
        <v>4</v>
      </c>
      <c r="D38" s="8">
        <v>1.81</v>
      </c>
      <c r="E38" s="12">
        <v>4</v>
      </c>
      <c r="F38" s="8">
        <v>2.7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123</v>
      </c>
      <c r="C39" s="12">
        <v>4</v>
      </c>
      <c r="D39" s="8">
        <v>1.81</v>
      </c>
      <c r="E39" s="12">
        <v>4</v>
      </c>
      <c r="F39" s="8">
        <v>2.7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124</v>
      </c>
      <c r="C40" s="12">
        <v>3</v>
      </c>
      <c r="D40" s="8">
        <v>1.36</v>
      </c>
      <c r="E40" s="12">
        <v>3</v>
      </c>
      <c r="F40" s="8">
        <v>2.0299999999999998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121</v>
      </c>
      <c r="C41" s="12">
        <v>3</v>
      </c>
      <c r="D41" s="8">
        <v>1.36</v>
      </c>
      <c r="E41" s="12">
        <v>0</v>
      </c>
      <c r="F41" s="8">
        <v>0</v>
      </c>
      <c r="G41" s="12">
        <v>3</v>
      </c>
      <c r="H41" s="8">
        <v>4.4800000000000004</v>
      </c>
      <c r="I41" s="12">
        <v>0</v>
      </c>
    </row>
    <row r="42" spans="2:9" ht="15" customHeight="1" x14ac:dyDescent="0.2">
      <c r="B42" t="s">
        <v>135</v>
      </c>
      <c r="C42" s="12">
        <v>2</v>
      </c>
      <c r="D42" s="8">
        <v>0.9</v>
      </c>
      <c r="E42" s="12">
        <v>0</v>
      </c>
      <c r="F42" s="8">
        <v>0</v>
      </c>
      <c r="G42" s="12">
        <v>2</v>
      </c>
      <c r="H42" s="8">
        <v>2.99</v>
      </c>
      <c r="I42" s="12">
        <v>0</v>
      </c>
    </row>
    <row r="43" spans="2:9" ht="15" customHeight="1" x14ac:dyDescent="0.2">
      <c r="B43" t="s">
        <v>136</v>
      </c>
      <c r="C43" s="12">
        <v>2</v>
      </c>
      <c r="D43" s="8">
        <v>0.9</v>
      </c>
      <c r="E43" s="12">
        <v>2</v>
      </c>
      <c r="F43" s="8">
        <v>1.35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119</v>
      </c>
      <c r="C44" s="12">
        <v>2</v>
      </c>
      <c r="D44" s="8">
        <v>0.9</v>
      </c>
      <c r="E44" s="12">
        <v>1</v>
      </c>
      <c r="F44" s="8">
        <v>0.68</v>
      </c>
      <c r="G44" s="12">
        <v>1</v>
      </c>
      <c r="H44" s="8">
        <v>1.49</v>
      </c>
      <c r="I44" s="12">
        <v>0</v>
      </c>
    </row>
    <row r="45" spans="2:9" ht="15" customHeight="1" x14ac:dyDescent="0.2">
      <c r="B45" t="s">
        <v>132</v>
      </c>
      <c r="C45" s="12">
        <v>2</v>
      </c>
      <c r="D45" s="8">
        <v>0.9</v>
      </c>
      <c r="E45" s="12">
        <v>1</v>
      </c>
      <c r="F45" s="8">
        <v>0.68</v>
      </c>
      <c r="G45" s="12">
        <v>1</v>
      </c>
      <c r="H45" s="8">
        <v>1.49</v>
      </c>
      <c r="I45" s="12">
        <v>0</v>
      </c>
    </row>
    <row r="46" spans="2:9" ht="15" customHeight="1" x14ac:dyDescent="0.2">
      <c r="B46" t="s">
        <v>101</v>
      </c>
      <c r="C46" s="12">
        <v>2</v>
      </c>
      <c r="D46" s="8">
        <v>0.9</v>
      </c>
      <c r="E46" s="12">
        <v>0</v>
      </c>
      <c r="F46" s="8">
        <v>0</v>
      </c>
      <c r="G46" s="12">
        <v>2</v>
      </c>
      <c r="H46" s="8">
        <v>2.99</v>
      </c>
      <c r="I46" s="12">
        <v>0</v>
      </c>
    </row>
    <row r="47" spans="2:9" ht="15" customHeight="1" x14ac:dyDescent="0.2">
      <c r="B47" t="s">
        <v>102</v>
      </c>
      <c r="C47" s="12">
        <v>2</v>
      </c>
      <c r="D47" s="8">
        <v>0.9</v>
      </c>
      <c r="E47" s="12">
        <v>2</v>
      </c>
      <c r="F47" s="8">
        <v>1.35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118</v>
      </c>
      <c r="C48" s="12">
        <v>2</v>
      </c>
      <c r="D48" s="8">
        <v>0.9</v>
      </c>
      <c r="E48" s="12">
        <v>1</v>
      </c>
      <c r="F48" s="8">
        <v>0.68</v>
      </c>
      <c r="G48" s="12">
        <v>1</v>
      </c>
      <c r="H48" s="8">
        <v>1.49</v>
      </c>
      <c r="I48" s="12">
        <v>0</v>
      </c>
    </row>
    <row r="49" spans="2:9" ht="15" customHeight="1" x14ac:dyDescent="0.2">
      <c r="B49" t="s">
        <v>127</v>
      </c>
      <c r="C49" s="12">
        <v>2</v>
      </c>
      <c r="D49" s="8">
        <v>0.9</v>
      </c>
      <c r="E49" s="12">
        <v>2</v>
      </c>
      <c r="F49" s="8">
        <v>1.35</v>
      </c>
      <c r="G49" s="12">
        <v>0</v>
      </c>
      <c r="H49" s="8">
        <v>0</v>
      </c>
      <c r="I49" s="12">
        <v>0</v>
      </c>
    </row>
    <row r="52" spans="2:9" ht="33" customHeight="1" x14ac:dyDescent="0.2">
      <c r="B52" t="s">
        <v>287</v>
      </c>
      <c r="C52" s="10" t="s">
        <v>91</v>
      </c>
      <c r="D52" s="10" t="s">
        <v>92</v>
      </c>
      <c r="E52" s="10" t="s">
        <v>93</v>
      </c>
      <c r="F52" s="10" t="s">
        <v>94</v>
      </c>
      <c r="G52" s="10" t="s">
        <v>95</v>
      </c>
      <c r="H52" s="10" t="s">
        <v>96</v>
      </c>
      <c r="I52" s="10" t="s">
        <v>97</v>
      </c>
    </row>
    <row r="53" spans="2:9" ht="15" customHeight="1" x14ac:dyDescent="0.2">
      <c r="B53" t="s">
        <v>154</v>
      </c>
      <c r="C53" s="12">
        <v>15</v>
      </c>
      <c r="D53" s="8">
        <v>6.79</v>
      </c>
      <c r="E53" s="12">
        <v>0</v>
      </c>
      <c r="F53" s="8">
        <v>0</v>
      </c>
      <c r="G53" s="12">
        <v>15</v>
      </c>
      <c r="H53" s="8">
        <v>22.39</v>
      </c>
      <c r="I53" s="12">
        <v>0</v>
      </c>
    </row>
    <row r="54" spans="2:9" ht="15" customHeight="1" x14ac:dyDescent="0.2">
      <c r="B54" t="s">
        <v>170</v>
      </c>
      <c r="C54" s="12">
        <v>12</v>
      </c>
      <c r="D54" s="8">
        <v>5.43</v>
      </c>
      <c r="E54" s="12">
        <v>12</v>
      </c>
      <c r="F54" s="8">
        <v>8.11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158</v>
      </c>
      <c r="C55" s="12">
        <v>7</v>
      </c>
      <c r="D55" s="8">
        <v>3.17</v>
      </c>
      <c r="E55" s="12">
        <v>7</v>
      </c>
      <c r="F55" s="8">
        <v>4.7300000000000004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161</v>
      </c>
      <c r="C56" s="12">
        <v>7</v>
      </c>
      <c r="D56" s="8">
        <v>3.17</v>
      </c>
      <c r="E56" s="12">
        <v>6</v>
      </c>
      <c r="F56" s="8">
        <v>4.05</v>
      </c>
      <c r="G56" s="12">
        <v>1</v>
      </c>
      <c r="H56" s="8">
        <v>1.49</v>
      </c>
      <c r="I56" s="12">
        <v>0</v>
      </c>
    </row>
    <row r="57" spans="2:9" ht="15" customHeight="1" x14ac:dyDescent="0.2">
      <c r="B57" t="s">
        <v>177</v>
      </c>
      <c r="C57" s="12">
        <v>6</v>
      </c>
      <c r="D57" s="8">
        <v>2.71</v>
      </c>
      <c r="E57" s="12">
        <v>6</v>
      </c>
      <c r="F57" s="8">
        <v>4.05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166</v>
      </c>
      <c r="C58" s="12">
        <v>6</v>
      </c>
      <c r="D58" s="8">
        <v>2.71</v>
      </c>
      <c r="E58" s="12">
        <v>6</v>
      </c>
      <c r="F58" s="8">
        <v>4.05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204</v>
      </c>
      <c r="C59" s="12">
        <v>6</v>
      </c>
      <c r="D59" s="8">
        <v>2.71</v>
      </c>
      <c r="E59" s="12">
        <v>0</v>
      </c>
      <c r="F59" s="8">
        <v>0</v>
      </c>
      <c r="G59" s="12">
        <v>6</v>
      </c>
      <c r="H59" s="8">
        <v>8.9600000000000009</v>
      </c>
      <c r="I59" s="12">
        <v>0</v>
      </c>
    </row>
    <row r="60" spans="2:9" ht="15" customHeight="1" x14ac:dyDescent="0.2">
      <c r="B60" t="s">
        <v>190</v>
      </c>
      <c r="C60" s="12">
        <v>6</v>
      </c>
      <c r="D60" s="8">
        <v>2.71</v>
      </c>
      <c r="E60" s="12">
        <v>6</v>
      </c>
      <c r="F60" s="8">
        <v>4.05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156</v>
      </c>
      <c r="C61" s="12">
        <v>5</v>
      </c>
      <c r="D61" s="8">
        <v>2.2599999999999998</v>
      </c>
      <c r="E61" s="12">
        <v>2</v>
      </c>
      <c r="F61" s="8">
        <v>1.35</v>
      </c>
      <c r="G61" s="12">
        <v>3</v>
      </c>
      <c r="H61" s="8">
        <v>4.4800000000000004</v>
      </c>
      <c r="I61" s="12">
        <v>0</v>
      </c>
    </row>
    <row r="62" spans="2:9" ht="15" customHeight="1" x14ac:dyDescent="0.2">
      <c r="B62" t="s">
        <v>157</v>
      </c>
      <c r="C62" s="12">
        <v>5</v>
      </c>
      <c r="D62" s="8">
        <v>2.2599999999999998</v>
      </c>
      <c r="E62" s="12">
        <v>5</v>
      </c>
      <c r="F62" s="8">
        <v>3.38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208</v>
      </c>
      <c r="C63" s="12">
        <v>5</v>
      </c>
      <c r="D63" s="8">
        <v>2.2599999999999998</v>
      </c>
      <c r="E63" s="12">
        <v>5</v>
      </c>
      <c r="F63" s="8">
        <v>3.38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160</v>
      </c>
      <c r="C64" s="12">
        <v>5</v>
      </c>
      <c r="D64" s="8">
        <v>2.2599999999999998</v>
      </c>
      <c r="E64" s="12">
        <v>4</v>
      </c>
      <c r="F64" s="8">
        <v>2.7</v>
      </c>
      <c r="G64" s="12">
        <v>1</v>
      </c>
      <c r="H64" s="8">
        <v>1.49</v>
      </c>
      <c r="I64" s="12">
        <v>0</v>
      </c>
    </row>
    <row r="65" spans="2:9" ht="15" customHeight="1" x14ac:dyDescent="0.2">
      <c r="B65" t="s">
        <v>164</v>
      </c>
      <c r="C65" s="12">
        <v>5</v>
      </c>
      <c r="D65" s="8">
        <v>2.2599999999999998</v>
      </c>
      <c r="E65" s="12">
        <v>3</v>
      </c>
      <c r="F65" s="8">
        <v>2.0299999999999998</v>
      </c>
      <c r="G65" s="12">
        <v>1</v>
      </c>
      <c r="H65" s="8">
        <v>1.49</v>
      </c>
      <c r="I65" s="12">
        <v>0</v>
      </c>
    </row>
    <row r="66" spans="2:9" ht="15" customHeight="1" x14ac:dyDescent="0.2">
      <c r="B66" t="s">
        <v>179</v>
      </c>
      <c r="C66" s="12">
        <v>5</v>
      </c>
      <c r="D66" s="8">
        <v>2.2599999999999998</v>
      </c>
      <c r="E66" s="12">
        <v>4</v>
      </c>
      <c r="F66" s="8">
        <v>2.7</v>
      </c>
      <c r="G66" s="12">
        <v>1</v>
      </c>
      <c r="H66" s="8">
        <v>1.49</v>
      </c>
      <c r="I66" s="12">
        <v>0</v>
      </c>
    </row>
    <row r="67" spans="2:9" ht="15" customHeight="1" x14ac:dyDescent="0.2">
      <c r="B67" t="s">
        <v>155</v>
      </c>
      <c r="C67" s="12">
        <v>4</v>
      </c>
      <c r="D67" s="8">
        <v>1.81</v>
      </c>
      <c r="E67" s="12">
        <v>2</v>
      </c>
      <c r="F67" s="8">
        <v>1.35</v>
      </c>
      <c r="G67" s="12">
        <v>2</v>
      </c>
      <c r="H67" s="8">
        <v>2.99</v>
      </c>
      <c r="I67" s="12">
        <v>0</v>
      </c>
    </row>
    <row r="68" spans="2:9" ht="15" customHeight="1" x14ac:dyDescent="0.2">
      <c r="B68" t="s">
        <v>181</v>
      </c>
      <c r="C68" s="12">
        <v>4</v>
      </c>
      <c r="D68" s="8">
        <v>1.81</v>
      </c>
      <c r="E68" s="12">
        <v>4</v>
      </c>
      <c r="F68" s="8">
        <v>2.7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205</v>
      </c>
      <c r="C69" s="12">
        <v>4</v>
      </c>
      <c r="D69" s="8">
        <v>1.81</v>
      </c>
      <c r="E69" s="12">
        <v>1</v>
      </c>
      <c r="F69" s="8">
        <v>0.68</v>
      </c>
      <c r="G69" s="12">
        <v>3</v>
      </c>
      <c r="H69" s="8">
        <v>4.4800000000000004</v>
      </c>
      <c r="I69" s="12">
        <v>0</v>
      </c>
    </row>
    <row r="70" spans="2:9" ht="15" customHeight="1" x14ac:dyDescent="0.2">
      <c r="B70" t="s">
        <v>178</v>
      </c>
      <c r="C70" s="12">
        <v>4</v>
      </c>
      <c r="D70" s="8">
        <v>1.81</v>
      </c>
      <c r="E70" s="12">
        <v>2</v>
      </c>
      <c r="F70" s="8">
        <v>1.35</v>
      </c>
      <c r="G70" s="12">
        <v>2</v>
      </c>
      <c r="H70" s="8">
        <v>2.99</v>
      </c>
      <c r="I70" s="12">
        <v>0</v>
      </c>
    </row>
    <row r="71" spans="2:9" ht="15" customHeight="1" x14ac:dyDescent="0.2">
      <c r="B71" t="s">
        <v>172</v>
      </c>
      <c r="C71" s="12">
        <v>4</v>
      </c>
      <c r="D71" s="8">
        <v>1.81</v>
      </c>
      <c r="E71" s="12">
        <v>4</v>
      </c>
      <c r="F71" s="8">
        <v>2.7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173</v>
      </c>
      <c r="C72" s="12">
        <v>4</v>
      </c>
      <c r="D72" s="8">
        <v>1.81</v>
      </c>
      <c r="E72" s="12">
        <v>4</v>
      </c>
      <c r="F72" s="8">
        <v>2.7</v>
      </c>
      <c r="G72" s="12">
        <v>0</v>
      </c>
      <c r="H72" s="8">
        <v>0</v>
      </c>
      <c r="I72" s="12">
        <v>0</v>
      </c>
    </row>
    <row r="74" spans="2:9" ht="15" customHeight="1" x14ac:dyDescent="0.2">
      <c r="B74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50FCA-2E2E-4D61-9D54-5D4134C00397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290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267</v>
      </c>
      <c r="D6" s="8">
        <v>11.72</v>
      </c>
      <c r="E6" s="12">
        <v>53</v>
      </c>
      <c r="F6" s="8">
        <v>4.37</v>
      </c>
      <c r="G6" s="12">
        <v>214</v>
      </c>
      <c r="H6" s="8">
        <v>20.74</v>
      </c>
      <c r="I6" s="12">
        <v>0</v>
      </c>
    </row>
    <row r="7" spans="2:9" ht="15" customHeight="1" x14ac:dyDescent="0.2">
      <c r="B7" t="s">
        <v>77</v>
      </c>
      <c r="C7" s="12">
        <v>134</v>
      </c>
      <c r="D7" s="8">
        <v>5.88</v>
      </c>
      <c r="E7" s="12">
        <v>39</v>
      </c>
      <c r="F7" s="8">
        <v>3.21</v>
      </c>
      <c r="G7" s="12">
        <v>95</v>
      </c>
      <c r="H7" s="8">
        <v>9.2100000000000009</v>
      </c>
      <c r="I7" s="12">
        <v>0</v>
      </c>
    </row>
    <row r="8" spans="2:9" ht="15" customHeight="1" x14ac:dyDescent="0.2">
      <c r="B8" t="s">
        <v>78</v>
      </c>
      <c r="C8" s="12">
        <v>4</v>
      </c>
      <c r="D8" s="8">
        <v>0.18</v>
      </c>
      <c r="E8" s="12">
        <v>0</v>
      </c>
      <c r="F8" s="8">
        <v>0</v>
      </c>
      <c r="G8" s="12">
        <v>4</v>
      </c>
      <c r="H8" s="8">
        <v>0.39</v>
      </c>
      <c r="I8" s="12">
        <v>0</v>
      </c>
    </row>
    <row r="9" spans="2:9" ht="15" customHeight="1" x14ac:dyDescent="0.2">
      <c r="B9" t="s">
        <v>79</v>
      </c>
      <c r="C9" s="12">
        <v>11</v>
      </c>
      <c r="D9" s="8">
        <v>0.48</v>
      </c>
      <c r="E9" s="12">
        <v>1</v>
      </c>
      <c r="F9" s="8">
        <v>0.08</v>
      </c>
      <c r="G9" s="12">
        <v>10</v>
      </c>
      <c r="H9" s="8">
        <v>0.97</v>
      </c>
      <c r="I9" s="12">
        <v>0</v>
      </c>
    </row>
    <row r="10" spans="2:9" ht="15" customHeight="1" x14ac:dyDescent="0.2">
      <c r="B10" t="s">
        <v>80</v>
      </c>
      <c r="C10" s="12">
        <v>85</v>
      </c>
      <c r="D10" s="8">
        <v>3.73</v>
      </c>
      <c r="E10" s="12">
        <v>10</v>
      </c>
      <c r="F10" s="8">
        <v>0.82</v>
      </c>
      <c r="G10" s="12">
        <v>74</v>
      </c>
      <c r="H10" s="8">
        <v>7.17</v>
      </c>
      <c r="I10" s="12">
        <v>1</v>
      </c>
    </row>
    <row r="11" spans="2:9" ht="15" customHeight="1" x14ac:dyDescent="0.2">
      <c r="B11" t="s">
        <v>81</v>
      </c>
      <c r="C11" s="12">
        <v>604</v>
      </c>
      <c r="D11" s="8">
        <v>26.5</v>
      </c>
      <c r="E11" s="12">
        <v>318</v>
      </c>
      <c r="F11" s="8">
        <v>26.19</v>
      </c>
      <c r="G11" s="12">
        <v>286</v>
      </c>
      <c r="H11" s="8">
        <v>27.71</v>
      </c>
      <c r="I11" s="12">
        <v>0</v>
      </c>
    </row>
    <row r="12" spans="2:9" ht="15" customHeight="1" x14ac:dyDescent="0.2">
      <c r="B12" t="s">
        <v>82</v>
      </c>
      <c r="C12" s="12">
        <v>19</v>
      </c>
      <c r="D12" s="8">
        <v>0.83</v>
      </c>
      <c r="E12" s="12">
        <v>1</v>
      </c>
      <c r="F12" s="8">
        <v>0.08</v>
      </c>
      <c r="G12" s="12">
        <v>18</v>
      </c>
      <c r="H12" s="8">
        <v>1.74</v>
      </c>
      <c r="I12" s="12">
        <v>0</v>
      </c>
    </row>
    <row r="13" spans="2:9" ht="15" customHeight="1" x14ac:dyDescent="0.2">
      <c r="B13" t="s">
        <v>83</v>
      </c>
      <c r="C13" s="12">
        <v>239</v>
      </c>
      <c r="D13" s="8">
        <v>10.49</v>
      </c>
      <c r="E13" s="12">
        <v>142</v>
      </c>
      <c r="F13" s="8">
        <v>11.7</v>
      </c>
      <c r="G13" s="12">
        <v>97</v>
      </c>
      <c r="H13" s="8">
        <v>9.4</v>
      </c>
      <c r="I13" s="12">
        <v>0</v>
      </c>
    </row>
    <row r="14" spans="2:9" ht="15" customHeight="1" x14ac:dyDescent="0.2">
      <c r="B14" t="s">
        <v>84</v>
      </c>
      <c r="C14" s="12">
        <v>79</v>
      </c>
      <c r="D14" s="8">
        <v>3.47</v>
      </c>
      <c r="E14" s="12">
        <v>35</v>
      </c>
      <c r="F14" s="8">
        <v>2.88</v>
      </c>
      <c r="G14" s="12">
        <v>43</v>
      </c>
      <c r="H14" s="8">
        <v>4.17</v>
      </c>
      <c r="I14" s="12">
        <v>0</v>
      </c>
    </row>
    <row r="15" spans="2:9" ht="15" customHeight="1" x14ac:dyDescent="0.2">
      <c r="B15" t="s">
        <v>85</v>
      </c>
      <c r="C15" s="12">
        <v>341</v>
      </c>
      <c r="D15" s="8">
        <v>14.96</v>
      </c>
      <c r="E15" s="12">
        <v>296</v>
      </c>
      <c r="F15" s="8">
        <v>24.38</v>
      </c>
      <c r="G15" s="12">
        <v>45</v>
      </c>
      <c r="H15" s="8">
        <v>4.3600000000000003</v>
      </c>
      <c r="I15" s="12">
        <v>0</v>
      </c>
    </row>
    <row r="16" spans="2:9" ht="15" customHeight="1" x14ac:dyDescent="0.2">
      <c r="B16" t="s">
        <v>86</v>
      </c>
      <c r="C16" s="12">
        <v>256</v>
      </c>
      <c r="D16" s="8">
        <v>11.23</v>
      </c>
      <c r="E16" s="12">
        <v>202</v>
      </c>
      <c r="F16" s="8">
        <v>16.64</v>
      </c>
      <c r="G16" s="12">
        <v>53</v>
      </c>
      <c r="H16" s="8">
        <v>5.14</v>
      </c>
      <c r="I16" s="12">
        <v>0</v>
      </c>
    </row>
    <row r="17" spans="2:9" ht="15" customHeight="1" x14ac:dyDescent="0.2">
      <c r="B17" t="s">
        <v>87</v>
      </c>
      <c r="C17" s="12">
        <v>67</v>
      </c>
      <c r="D17" s="8">
        <v>2.94</v>
      </c>
      <c r="E17" s="12">
        <v>45</v>
      </c>
      <c r="F17" s="8">
        <v>3.71</v>
      </c>
      <c r="G17" s="12">
        <v>14</v>
      </c>
      <c r="H17" s="8">
        <v>1.36</v>
      </c>
      <c r="I17" s="12">
        <v>7</v>
      </c>
    </row>
    <row r="18" spans="2:9" ht="15" customHeight="1" x14ac:dyDescent="0.2">
      <c r="B18" t="s">
        <v>88</v>
      </c>
      <c r="C18" s="12">
        <v>97</v>
      </c>
      <c r="D18" s="8">
        <v>4.26</v>
      </c>
      <c r="E18" s="12">
        <v>59</v>
      </c>
      <c r="F18" s="8">
        <v>4.8600000000000003</v>
      </c>
      <c r="G18" s="12">
        <v>35</v>
      </c>
      <c r="H18" s="8">
        <v>3.39</v>
      </c>
      <c r="I18" s="12">
        <v>0</v>
      </c>
    </row>
    <row r="19" spans="2:9" ht="15" customHeight="1" x14ac:dyDescent="0.2">
      <c r="B19" t="s">
        <v>89</v>
      </c>
      <c r="C19" s="12">
        <v>76</v>
      </c>
      <c r="D19" s="8">
        <v>3.33</v>
      </c>
      <c r="E19" s="12">
        <v>13</v>
      </c>
      <c r="F19" s="8">
        <v>1.07</v>
      </c>
      <c r="G19" s="12">
        <v>44</v>
      </c>
      <c r="H19" s="8">
        <v>4.26</v>
      </c>
      <c r="I19" s="12">
        <v>0</v>
      </c>
    </row>
    <row r="20" spans="2:9" ht="15" customHeight="1" x14ac:dyDescent="0.2">
      <c r="B20" s="9" t="s">
        <v>285</v>
      </c>
      <c r="C20" s="12">
        <f>SUM(LTBL_40101[総数／事業所数])</f>
        <v>2279</v>
      </c>
      <c r="E20" s="12">
        <f>SUBTOTAL(109,LTBL_40101[個人／事業所数])</f>
        <v>1214</v>
      </c>
      <c r="G20" s="12">
        <f>SUBTOTAL(109,LTBL_40101[法人／事業所数])</f>
        <v>1032</v>
      </c>
      <c r="I20" s="12">
        <f>SUBTOTAL(109,LTBL_40101[法人以外の団体／事業所数])</f>
        <v>8</v>
      </c>
    </row>
    <row r="21" spans="2:9" ht="15" customHeight="1" x14ac:dyDescent="0.2">
      <c r="E21" s="11">
        <f>LTBL_40101[[#Totals],[個人／事業所数]]/LTBL_40101[[#Totals],[総数／事業所数]]</f>
        <v>0.53268977621763935</v>
      </c>
      <c r="G21" s="11">
        <f>LTBL_40101[[#Totals],[法人／事業所数]]/LTBL_40101[[#Totals],[総数／事業所数]]</f>
        <v>0.45283018867924529</v>
      </c>
      <c r="I21" s="11">
        <f>LTBL_40101[[#Totals],[法人以外の団体／事業所数]]/LTBL_40101[[#Totals],[総数／事業所数]]</f>
        <v>3.5103115401491883E-3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112</v>
      </c>
      <c r="C24" s="12">
        <v>304</v>
      </c>
      <c r="D24" s="8">
        <v>13.34</v>
      </c>
      <c r="E24" s="12">
        <v>282</v>
      </c>
      <c r="F24" s="8">
        <v>23.23</v>
      </c>
      <c r="G24" s="12">
        <v>22</v>
      </c>
      <c r="H24" s="8">
        <v>2.13</v>
      </c>
      <c r="I24" s="12">
        <v>0</v>
      </c>
    </row>
    <row r="25" spans="2:9" ht="15" customHeight="1" x14ac:dyDescent="0.2">
      <c r="B25" t="s">
        <v>113</v>
      </c>
      <c r="C25" s="12">
        <v>216</v>
      </c>
      <c r="D25" s="8">
        <v>9.48</v>
      </c>
      <c r="E25" s="12">
        <v>184</v>
      </c>
      <c r="F25" s="8">
        <v>15.16</v>
      </c>
      <c r="G25" s="12">
        <v>32</v>
      </c>
      <c r="H25" s="8">
        <v>3.1</v>
      </c>
      <c r="I25" s="12">
        <v>0</v>
      </c>
    </row>
    <row r="26" spans="2:9" ht="15" customHeight="1" x14ac:dyDescent="0.2">
      <c r="B26" t="s">
        <v>109</v>
      </c>
      <c r="C26" s="12">
        <v>209</v>
      </c>
      <c r="D26" s="8">
        <v>9.17</v>
      </c>
      <c r="E26" s="12">
        <v>136</v>
      </c>
      <c r="F26" s="8">
        <v>11.2</v>
      </c>
      <c r="G26" s="12">
        <v>73</v>
      </c>
      <c r="H26" s="8">
        <v>7.07</v>
      </c>
      <c r="I26" s="12">
        <v>0</v>
      </c>
    </row>
    <row r="27" spans="2:9" ht="15" customHeight="1" x14ac:dyDescent="0.2">
      <c r="B27" t="s">
        <v>105</v>
      </c>
      <c r="C27" s="12">
        <v>200</v>
      </c>
      <c r="D27" s="8">
        <v>8.7799999999999994</v>
      </c>
      <c r="E27" s="12">
        <v>142</v>
      </c>
      <c r="F27" s="8">
        <v>11.7</v>
      </c>
      <c r="G27" s="12">
        <v>58</v>
      </c>
      <c r="H27" s="8">
        <v>5.62</v>
      </c>
      <c r="I27" s="12">
        <v>0</v>
      </c>
    </row>
    <row r="28" spans="2:9" ht="15" customHeight="1" x14ac:dyDescent="0.2">
      <c r="B28" t="s">
        <v>107</v>
      </c>
      <c r="C28" s="12">
        <v>163</v>
      </c>
      <c r="D28" s="8">
        <v>7.15</v>
      </c>
      <c r="E28" s="12">
        <v>82</v>
      </c>
      <c r="F28" s="8">
        <v>6.75</v>
      </c>
      <c r="G28" s="12">
        <v>81</v>
      </c>
      <c r="H28" s="8">
        <v>7.85</v>
      </c>
      <c r="I28" s="12">
        <v>0</v>
      </c>
    </row>
    <row r="29" spans="2:9" ht="15" customHeight="1" x14ac:dyDescent="0.2">
      <c r="B29" t="s">
        <v>98</v>
      </c>
      <c r="C29" s="12">
        <v>134</v>
      </c>
      <c r="D29" s="8">
        <v>5.88</v>
      </c>
      <c r="E29" s="12">
        <v>28</v>
      </c>
      <c r="F29" s="8">
        <v>2.31</v>
      </c>
      <c r="G29" s="12">
        <v>106</v>
      </c>
      <c r="H29" s="8">
        <v>10.27</v>
      </c>
      <c r="I29" s="12">
        <v>0</v>
      </c>
    </row>
    <row r="30" spans="2:9" ht="15" customHeight="1" x14ac:dyDescent="0.2">
      <c r="B30" t="s">
        <v>100</v>
      </c>
      <c r="C30" s="12">
        <v>72</v>
      </c>
      <c r="D30" s="8">
        <v>3.16</v>
      </c>
      <c r="E30" s="12">
        <v>8</v>
      </c>
      <c r="F30" s="8">
        <v>0.66</v>
      </c>
      <c r="G30" s="12">
        <v>64</v>
      </c>
      <c r="H30" s="8">
        <v>6.2</v>
      </c>
      <c r="I30" s="12">
        <v>0</v>
      </c>
    </row>
    <row r="31" spans="2:9" ht="15" customHeight="1" x14ac:dyDescent="0.2">
      <c r="B31" t="s">
        <v>115</v>
      </c>
      <c r="C31" s="12">
        <v>70</v>
      </c>
      <c r="D31" s="8">
        <v>3.07</v>
      </c>
      <c r="E31" s="12">
        <v>59</v>
      </c>
      <c r="F31" s="8">
        <v>4.8600000000000003</v>
      </c>
      <c r="G31" s="12">
        <v>11</v>
      </c>
      <c r="H31" s="8">
        <v>1.07</v>
      </c>
      <c r="I31" s="12">
        <v>0</v>
      </c>
    </row>
    <row r="32" spans="2:9" ht="15" customHeight="1" x14ac:dyDescent="0.2">
      <c r="B32" t="s">
        <v>114</v>
      </c>
      <c r="C32" s="12">
        <v>67</v>
      </c>
      <c r="D32" s="8">
        <v>2.94</v>
      </c>
      <c r="E32" s="12">
        <v>45</v>
      </c>
      <c r="F32" s="8">
        <v>3.71</v>
      </c>
      <c r="G32" s="12">
        <v>14</v>
      </c>
      <c r="H32" s="8">
        <v>1.36</v>
      </c>
      <c r="I32" s="12">
        <v>7</v>
      </c>
    </row>
    <row r="33" spans="2:9" ht="15" customHeight="1" x14ac:dyDescent="0.2">
      <c r="B33" t="s">
        <v>104</v>
      </c>
      <c r="C33" s="12">
        <v>62</v>
      </c>
      <c r="D33" s="8">
        <v>2.72</v>
      </c>
      <c r="E33" s="12">
        <v>43</v>
      </c>
      <c r="F33" s="8">
        <v>3.54</v>
      </c>
      <c r="G33" s="12">
        <v>19</v>
      </c>
      <c r="H33" s="8">
        <v>1.84</v>
      </c>
      <c r="I33" s="12">
        <v>0</v>
      </c>
    </row>
    <row r="34" spans="2:9" ht="15" customHeight="1" x14ac:dyDescent="0.2">
      <c r="B34" t="s">
        <v>99</v>
      </c>
      <c r="C34" s="12">
        <v>61</v>
      </c>
      <c r="D34" s="8">
        <v>2.68</v>
      </c>
      <c r="E34" s="12">
        <v>17</v>
      </c>
      <c r="F34" s="8">
        <v>1.4</v>
      </c>
      <c r="G34" s="12">
        <v>44</v>
      </c>
      <c r="H34" s="8">
        <v>4.26</v>
      </c>
      <c r="I34" s="12">
        <v>0</v>
      </c>
    </row>
    <row r="35" spans="2:9" ht="15" customHeight="1" x14ac:dyDescent="0.2">
      <c r="B35" t="s">
        <v>106</v>
      </c>
      <c r="C35" s="12">
        <v>59</v>
      </c>
      <c r="D35" s="8">
        <v>2.59</v>
      </c>
      <c r="E35" s="12">
        <v>31</v>
      </c>
      <c r="F35" s="8">
        <v>2.5499999999999998</v>
      </c>
      <c r="G35" s="12">
        <v>28</v>
      </c>
      <c r="H35" s="8">
        <v>2.71</v>
      </c>
      <c r="I35" s="12">
        <v>0</v>
      </c>
    </row>
    <row r="36" spans="2:9" ht="15" customHeight="1" x14ac:dyDescent="0.2">
      <c r="B36" t="s">
        <v>110</v>
      </c>
      <c r="C36" s="12">
        <v>45</v>
      </c>
      <c r="D36" s="8">
        <v>1.97</v>
      </c>
      <c r="E36" s="12">
        <v>23</v>
      </c>
      <c r="F36" s="8">
        <v>1.89</v>
      </c>
      <c r="G36" s="12">
        <v>22</v>
      </c>
      <c r="H36" s="8">
        <v>2.13</v>
      </c>
      <c r="I36" s="12">
        <v>0</v>
      </c>
    </row>
    <row r="37" spans="2:9" ht="15" customHeight="1" x14ac:dyDescent="0.2">
      <c r="B37" t="s">
        <v>101</v>
      </c>
      <c r="C37" s="12">
        <v>33</v>
      </c>
      <c r="D37" s="8">
        <v>1.45</v>
      </c>
      <c r="E37" s="12">
        <v>4</v>
      </c>
      <c r="F37" s="8">
        <v>0.33</v>
      </c>
      <c r="G37" s="12">
        <v>29</v>
      </c>
      <c r="H37" s="8">
        <v>2.81</v>
      </c>
      <c r="I37" s="12">
        <v>0</v>
      </c>
    </row>
    <row r="38" spans="2:9" ht="15" customHeight="1" x14ac:dyDescent="0.2">
      <c r="B38" t="s">
        <v>111</v>
      </c>
      <c r="C38" s="12">
        <v>30</v>
      </c>
      <c r="D38" s="8">
        <v>1.32</v>
      </c>
      <c r="E38" s="12">
        <v>12</v>
      </c>
      <c r="F38" s="8">
        <v>0.99</v>
      </c>
      <c r="G38" s="12">
        <v>17</v>
      </c>
      <c r="H38" s="8">
        <v>1.65</v>
      </c>
      <c r="I38" s="12">
        <v>0</v>
      </c>
    </row>
    <row r="39" spans="2:9" ht="15" customHeight="1" x14ac:dyDescent="0.2">
      <c r="B39" t="s">
        <v>121</v>
      </c>
      <c r="C39" s="12">
        <v>30</v>
      </c>
      <c r="D39" s="8">
        <v>1.32</v>
      </c>
      <c r="E39" s="12">
        <v>10</v>
      </c>
      <c r="F39" s="8">
        <v>0.82</v>
      </c>
      <c r="G39" s="12">
        <v>20</v>
      </c>
      <c r="H39" s="8">
        <v>1.94</v>
      </c>
      <c r="I39" s="12">
        <v>0</v>
      </c>
    </row>
    <row r="40" spans="2:9" ht="15" customHeight="1" x14ac:dyDescent="0.2">
      <c r="B40" t="s">
        <v>120</v>
      </c>
      <c r="C40" s="12">
        <v>29</v>
      </c>
      <c r="D40" s="8">
        <v>1.27</v>
      </c>
      <c r="E40" s="12">
        <v>0</v>
      </c>
      <c r="F40" s="8">
        <v>0</v>
      </c>
      <c r="G40" s="12">
        <v>28</v>
      </c>
      <c r="H40" s="8">
        <v>2.71</v>
      </c>
      <c r="I40" s="12">
        <v>1</v>
      </c>
    </row>
    <row r="41" spans="2:9" ht="15" customHeight="1" x14ac:dyDescent="0.2">
      <c r="B41" t="s">
        <v>102</v>
      </c>
      <c r="C41" s="12">
        <v>27</v>
      </c>
      <c r="D41" s="8">
        <v>1.18</v>
      </c>
      <c r="E41" s="12">
        <v>4</v>
      </c>
      <c r="F41" s="8">
        <v>0.33</v>
      </c>
      <c r="G41" s="12">
        <v>23</v>
      </c>
      <c r="H41" s="8">
        <v>2.23</v>
      </c>
      <c r="I41" s="12">
        <v>0</v>
      </c>
    </row>
    <row r="42" spans="2:9" ht="15" customHeight="1" x14ac:dyDescent="0.2">
      <c r="B42" t="s">
        <v>116</v>
      </c>
      <c r="C42" s="12">
        <v>27</v>
      </c>
      <c r="D42" s="8">
        <v>1.18</v>
      </c>
      <c r="E42" s="12">
        <v>0</v>
      </c>
      <c r="F42" s="8">
        <v>0</v>
      </c>
      <c r="G42" s="12">
        <v>24</v>
      </c>
      <c r="H42" s="8">
        <v>2.33</v>
      </c>
      <c r="I42" s="12">
        <v>0</v>
      </c>
    </row>
    <row r="43" spans="2:9" ht="15" customHeight="1" x14ac:dyDescent="0.2">
      <c r="B43" t="s">
        <v>119</v>
      </c>
      <c r="C43" s="12">
        <v>25</v>
      </c>
      <c r="D43" s="8">
        <v>1.1000000000000001</v>
      </c>
      <c r="E43" s="12">
        <v>6</v>
      </c>
      <c r="F43" s="8">
        <v>0.49</v>
      </c>
      <c r="G43" s="12">
        <v>19</v>
      </c>
      <c r="H43" s="8">
        <v>1.84</v>
      </c>
      <c r="I43" s="12">
        <v>0</v>
      </c>
    </row>
    <row r="44" spans="2:9" ht="15" customHeight="1" x14ac:dyDescent="0.2">
      <c r="B44" t="s">
        <v>118</v>
      </c>
      <c r="C44" s="12">
        <v>25</v>
      </c>
      <c r="D44" s="8">
        <v>1.1000000000000001</v>
      </c>
      <c r="E44" s="12">
        <v>10</v>
      </c>
      <c r="F44" s="8">
        <v>0.82</v>
      </c>
      <c r="G44" s="12">
        <v>14</v>
      </c>
      <c r="H44" s="8">
        <v>1.36</v>
      </c>
      <c r="I44" s="12">
        <v>0</v>
      </c>
    </row>
    <row r="47" spans="2:9" ht="33" customHeight="1" x14ac:dyDescent="0.2">
      <c r="B47" t="s">
        <v>287</v>
      </c>
      <c r="C47" s="10" t="s">
        <v>91</v>
      </c>
      <c r="D47" s="10" t="s">
        <v>92</v>
      </c>
      <c r="E47" s="10" t="s">
        <v>93</v>
      </c>
      <c r="F47" s="10" t="s">
        <v>94</v>
      </c>
      <c r="G47" s="10" t="s">
        <v>95</v>
      </c>
      <c r="H47" s="10" t="s">
        <v>96</v>
      </c>
      <c r="I47" s="10" t="s">
        <v>97</v>
      </c>
    </row>
    <row r="48" spans="2:9" ht="15" customHeight="1" x14ac:dyDescent="0.2">
      <c r="B48" t="s">
        <v>170</v>
      </c>
      <c r="C48" s="12">
        <v>114</v>
      </c>
      <c r="D48" s="8">
        <v>5</v>
      </c>
      <c r="E48" s="12">
        <v>99</v>
      </c>
      <c r="F48" s="8">
        <v>8.15</v>
      </c>
      <c r="G48" s="12">
        <v>15</v>
      </c>
      <c r="H48" s="8">
        <v>1.45</v>
      </c>
      <c r="I48" s="12">
        <v>0</v>
      </c>
    </row>
    <row r="49" spans="2:9" ht="15" customHeight="1" x14ac:dyDescent="0.2">
      <c r="B49" t="s">
        <v>164</v>
      </c>
      <c r="C49" s="12">
        <v>110</v>
      </c>
      <c r="D49" s="8">
        <v>4.83</v>
      </c>
      <c r="E49" s="12">
        <v>69</v>
      </c>
      <c r="F49" s="8">
        <v>5.68</v>
      </c>
      <c r="G49" s="12">
        <v>41</v>
      </c>
      <c r="H49" s="8">
        <v>3.97</v>
      </c>
      <c r="I49" s="12">
        <v>0</v>
      </c>
    </row>
    <row r="50" spans="2:9" ht="15" customHeight="1" x14ac:dyDescent="0.2">
      <c r="B50" t="s">
        <v>168</v>
      </c>
      <c r="C50" s="12">
        <v>77</v>
      </c>
      <c r="D50" s="8">
        <v>3.38</v>
      </c>
      <c r="E50" s="12">
        <v>77</v>
      </c>
      <c r="F50" s="8">
        <v>6.34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158</v>
      </c>
      <c r="C51" s="12">
        <v>68</v>
      </c>
      <c r="D51" s="8">
        <v>2.98</v>
      </c>
      <c r="E51" s="12">
        <v>46</v>
      </c>
      <c r="F51" s="8">
        <v>3.79</v>
      </c>
      <c r="G51" s="12">
        <v>22</v>
      </c>
      <c r="H51" s="8">
        <v>2.13</v>
      </c>
      <c r="I51" s="12">
        <v>0</v>
      </c>
    </row>
    <row r="52" spans="2:9" ht="15" customHeight="1" x14ac:dyDescent="0.2">
      <c r="B52" t="s">
        <v>169</v>
      </c>
      <c r="C52" s="12">
        <v>68</v>
      </c>
      <c r="D52" s="8">
        <v>2.98</v>
      </c>
      <c r="E52" s="12">
        <v>66</v>
      </c>
      <c r="F52" s="8">
        <v>5.44</v>
      </c>
      <c r="G52" s="12">
        <v>2</v>
      </c>
      <c r="H52" s="8">
        <v>0.19</v>
      </c>
      <c r="I52" s="12">
        <v>0</v>
      </c>
    </row>
    <row r="53" spans="2:9" ht="15" customHeight="1" x14ac:dyDescent="0.2">
      <c r="B53" t="s">
        <v>175</v>
      </c>
      <c r="C53" s="12">
        <v>60</v>
      </c>
      <c r="D53" s="8">
        <v>2.63</v>
      </c>
      <c r="E53" s="12">
        <v>53</v>
      </c>
      <c r="F53" s="8">
        <v>4.37</v>
      </c>
      <c r="G53" s="12">
        <v>7</v>
      </c>
      <c r="H53" s="8">
        <v>0.68</v>
      </c>
      <c r="I53" s="12">
        <v>0</v>
      </c>
    </row>
    <row r="54" spans="2:9" ht="15" customHeight="1" x14ac:dyDescent="0.2">
      <c r="B54" t="s">
        <v>167</v>
      </c>
      <c r="C54" s="12">
        <v>59</v>
      </c>
      <c r="D54" s="8">
        <v>2.59</v>
      </c>
      <c r="E54" s="12">
        <v>54</v>
      </c>
      <c r="F54" s="8">
        <v>4.45</v>
      </c>
      <c r="G54" s="12">
        <v>5</v>
      </c>
      <c r="H54" s="8">
        <v>0.48</v>
      </c>
      <c r="I54" s="12">
        <v>0</v>
      </c>
    </row>
    <row r="55" spans="2:9" ht="15" customHeight="1" x14ac:dyDescent="0.2">
      <c r="B55" t="s">
        <v>166</v>
      </c>
      <c r="C55" s="12">
        <v>58</v>
      </c>
      <c r="D55" s="8">
        <v>2.54</v>
      </c>
      <c r="E55" s="12">
        <v>51</v>
      </c>
      <c r="F55" s="8">
        <v>4.2</v>
      </c>
      <c r="G55" s="12">
        <v>7</v>
      </c>
      <c r="H55" s="8">
        <v>0.68</v>
      </c>
      <c r="I55" s="12">
        <v>0</v>
      </c>
    </row>
    <row r="56" spans="2:9" ht="15" customHeight="1" x14ac:dyDescent="0.2">
      <c r="B56" t="s">
        <v>154</v>
      </c>
      <c r="C56" s="12">
        <v>56</v>
      </c>
      <c r="D56" s="8">
        <v>2.46</v>
      </c>
      <c r="E56" s="12">
        <v>7</v>
      </c>
      <c r="F56" s="8">
        <v>0.57999999999999996</v>
      </c>
      <c r="G56" s="12">
        <v>49</v>
      </c>
      <c r="H56" s="8">
        <v>4.75</v>
      </c>
      <c r="I56" s="12">
        <v>0</v>
      </c>
    </row>
    <row r="57" spans="2:9" ht="15" customHeight="1" x14ac:dyDescent="0.2">
      <c r="B57" t="s">
        <v>161</v>
      </c>
      <c r="C57" s="12">
        <v>53</v>
      </c>
      <c r="D57" s="8">
        <v>2.33</v>
      </c>
      <c r="E57" s="12">
        <v>41</v>
      </c>
      <c r="F57" s="8">
        <v>3.38</v>
      </c>
      <c r="G57" s="12">
        <v>12</v>
      </c>
      <c r="H57" s="8">
        <v>1.1599999999999999</v>
      </c>
      <c r="I57" s="12">
        <v>0</v>
      </c>
    </row>
    <row r="58" spans="2:9" ht="15" customHeight="1" x14ac:dyDescent="0.2">
      <c r="B58" t="s">
        <v>156</v>
      </c>
      <c r="C58" s="12">
        <v>45</v>
      </c>
      <c r="D58" s="8">
        <v>1.97</v>
      </c>
      <c r="E58" s="12">
        <v>5</v>
      </c>
      <c r="F58" s="8">
        <v>0.41</v>
      </c>
      <c r="G58" s="12">
        <v>40</v>
      </c>
      <c r="H58" s="8">
        <v>3.88</v>
      </c>
      <c r="I58" s="12">
        <v>0</v>
      </c>
    </row>
    <row r="59" spans="2:9" ht="15" customHeight="1" x14ac:dyDescent="0.2">
      <c r="B59" t="s">
        <v>160</v>
      </c>
      <c r="C59" s="12">
        <v>44</v>
      </c>
      <c r="D59" s="8">
        <v>1.93</v>
      </c>
      <c r="E59" s="12">
        <v>9</v>
      </c>
      <c r="F59" s="8">
        <v>0.74</v>
      </c>
      <c r="G59" s="12">
        <v>35</v>
      </c>
      <c r="H59" s="8">
        <v>3.39</v>
      </c>
      <c r="I59" s="12">
        <v>0</v>
      </c>
    </row>
    <row r="60" spans="2:9" ht="15" customHeight="1" x14ac:dyDescent="0.2">
      <c r="B60" t="s">
        <v>179</v>
      </c>
      <c r="C60" s="12">
        <v>44</v>
      </c>
      <c r="D60" s="8">
        <v>1.93</v>
      </c>
      <c r="E60" s="12">
        <v>41</v>
      </c>
      <c r="F60" s="8">
        <v>3.38</v>
      </c>
      <c r="G60" s="12">
        <v>3</v>
      </c>
      <c r="H60" s="8">
        <v>0.28999999999999998</v>
      </c>
      <c r="I60" s="12">
        <v>0</v>
      </c>
    </row>
    <row r="61" spans="2:9" ht="15" customHeight="1" x14ac:dyDescent="0.2">
      <c r="B61" t="s">
        <v>172</v>
      </c>
      <c r="C61" s="12">
        <v>44</v>
      </c>
      <c r="D61" s="8">
        <v>1.93</v>
      </c>
      <c r="E61" s="12">
        <v>36</v>
      </c>
      <c r="F61" s="8">
        <v>2.97</v>
      </c>
      <c r="G61" s="12">
        <v>8</v>
      </c>
      <c r="H61" s="8">
        <v>0.78</v>
      </c>
      <c r="I61" s="12">
        <v>0</v>
      </c>
    </row>
    <row r="62" spans="2:9" ht="15" customHeight="1" x14ac:dyDescent="0.2">
      <c r="B62" t="s">
        <v>177</v>
      </c>
      <c r="C62" s="12">
        <v>40</v>
      </c>
      <c r="D62" s="8">
        <v>1.76</v>
      </c>
      <c r="E62" s="12">
        <v>26</v>
      </c>
      <c r="F62" s="8">
        <v>2.14</v>
      </c>
      <c r="G62" s="12">
        <v>14</v>
      </c>
      <c r="H62" s="8">
        <v>1.36</v>
      </c>
      <c r="I62" s="12">
        <v>0</v>
      </c>
    </row>
    <row r="63" spans="2:9" ht="15" customHeight="1" x14ac:dyDescent="0.2">
      <c r="B63" t="s">
        <v>159</v>
      </c>
      <c r="C63" s="12">
        <v>37</v>
      </c>
      <c r="D63" s="8">
        <v>1.62</v>
      </c>
      <c r="E63" s="12">
        <v>19</v>
      </c>
      <c r="F63" s="8">
        <v>1.57</v>
      </c>
      <c r="G63" s="12">
        <v>18</v>
      </c>
      <c r="H63" s="8">
        <v>1.74</v>
      </c>
      <c r="I63" s="12">
        <v>0</v>
      </c>
    </row>
    <row r="64" spans="2:9" ht="15" customHeight="1" x14ac:dyDescent="0.2">
      <c r="B64" t="s">
        <v>176</v>
      </c>
      <c r="C64" s="12">
        <v>33</v>
      </c>
      <c r="D64" s="8">
        <v>1.45</v>
      </c>
      <c r="E64" s="12">
        <v>27</v>
      </c>
      <c r="F64" s="8">
        <v>2.2200000000000002</v>
      </c>
      <c r="G64" s="12">
        <v>6</v>
      </c>
      <c r="H64" s="8">
        <v>0.57999999999999996</v>
      </c>
      <c r="I64" s="12">
        <v>0</v>
      </c>
    </row>
    <row r="65" spans="2:9" ht="15" customHeight="1" x14ac:dyDescent="0.2">
      <c r="B65" t="s">
        <v>163</v>
      </c>
      <c r="C65" s="12">
        <v>30</v>
      </c>
      <c r="D65" s="8">
        <v>1.32</v>
      </c>
      <c r="E65" s="12">
        <v>13</v>
      </c>
      <c r="F65" s="8">
        <v>1.07</v>
      </c>
      <c r="G65" s="12">
        <v>17</v>
      </c>
      <c r="H65" s="8">
        <v>1.65</v>
      </c>
      <c r="I65" s="12">
        <v>0</v>
      </c>
    </row>
    <row r="66" spans="2:9" ht="15" customHeight="1" x14ac:dyDescent="0.2">
      <c r="B66" t="s">
        <v>178</v>
      </c>
      <c r="C66" s="12">
        <v>30</v>
      </c>
      <c r="D66" s="8">
        <v>1.32</v>
      </c>
      <c r="E66" s="12">
        <v>27</v>
      </c>
      <c r="F66" s="8">
        <v>2.2200000000000002</v>
      </c>
      <c r="G66" s="12">
        <v>3</v>
      </c>
      <c r="H66" s="8">
        <v>0.28999999999999998</v>
      </c>
      <c r="I66" s="12">
        <v>0</v>
      </c>
    </row>
    <row r="67" spans="2:9" ht="15" customHeight="1" x14ac:dyDescent="0.2">
      <c r="B67" t="s">
        <v>157</v>
      </c>
      <c r="C67" s="12">
        <v>29</v>
      </c>
      <c r="D67" s="8">
        <v>1.27</v>
      </c>
      <c r="E67" s="12">
        <v>19</v>
      </c>
      <c r="F67" s="8">
        <v>1.57</v>
      </c>
      <c r="G67" s="12">
        <v>10</v>
      </c>
      <c r="H67" s="8">
        <v>0.97</v>
      </c>
      <c r="I67" s="12">
        <v>0</v>
      </c>
    </row>
    <row r="68" spans="2:9" ht="15" customHeight="1" x14ac:dyDescent="0.2">
      <c r="B68" t="s">
        <v>171</v>
      </c>
      <c r="C68" s="12">
        <v>29</v>
      </c>
      <c r="D68" s="8">
        <v>1.27</v>
      </c>
      <c r="E68" s="12">
        <v>25</v>
      </c>
      <c r="F68" s="8">
        <v>2.06</v>
      </c>
      <c r="G68" s="12">
        <v>4</v>
      </c>
      <c r="H68" s="8">
        <v>0.39</v>
      </c>
      <c r="I68" s="12">
        <v>0</v>
      </c>
    </row>
    <row r="70" spans="2:9" ht="15" customHeight="1" x14ac:dyDescent="0.2">
      <c r="B70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3CA5C-5D08-4E24-A5D9-CBC22C279840}">
  <sheetPr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353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21</v>
      </c>
      <c r="D6" s="8">
        <v>20.79</v>
      </c>
      <c r="E6" s="12">
        <v>3</v>
      </c>
      <c r="F6" s="8">
        <v>5.77</v>
      </c>
      <c r="G6" s="12">
        <v>18</v>
      </c>
      <c r="H6" s="8">
        <v>40</v>
      </c>
      <c r="I6" s="12">
        <v>0</v>
      </c>
    </row>
    <row r="7" spans="2:9" ht="15" customHeight="1" x14ac:dyDescent="0.2">
      <c r="B7" t="s">
        <v>77</v>
      </c>
      <c r="C7" s="12">
        <v>10</v>
      </c>
      <c r="D7" s="8">
        <v>9.9</v>
      </c>
      <c r="E7" s="12">
        <v>1</v>
      </c>
      <c r="F7" s="8">
        <v>1.92</v>
      </c>
      <c r="G7" s="12">
        <v>9</v>
      </c>
      <c r="H7" s="8">
        <v>20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0.99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1</v>
      </c>
      <c r="D9" s="8">
        <v>0.99</v>
      </c>
      <c r="E9" s="12">
        <v>0</v>
      </c>
      <c r="F9" s="8">
        <v>0</v>
      </c>
      <c r="G9" s="12">
        <v>1</v>
      </c>
      <c r="H9" s="8">
        <v>2.2200000000000002</v>
      </c>
      <c r="I9" s="12">
        <v>0</v>
      </c>
    </row>
    <row r="10" spans="2:9" ht="15" customHeight="1" x14ac:dyDescent="0.2">
      <c r="B10" t="s">
        <v>80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81</v>
      </c>
      <c r="C11" s="12">
        <v>30</v>
      </c>
      <c r="D11" s="8">
        <v>29.7</v>
      </c>
      <c r="E11" s="12">
        <v>20</v>
      </c>
      <c r="F11" s="8">
        <v>38.46</v>
      </c>
      <c r="G11" s="12">
        <v>10</v>
      </c>
      <c r="H11" s="8">
        <v>22.22</v>
      </c>
      <c r="I11" s="12">
        <v>0</v>
      </c>
    </row>
    <row r="12" spans="2:9" ht="15" customHeight="1" x14ac:dyDescent="0.2">
      <c r="B12" t="s">
        <v>82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83</v>
      </c>
      <c r="C13" s="12">
        <v>2</v>
      </c>
      <c r="D13" s="8">
        <v>1.98</v>
      </c>
      <c r="E13" s="12">
        <v>1</v>
      </c>
      <c r="F13" s="8">
        <v>1.92</v>
      </c>
      <c r="G13" s="12">
        <v>1</v>
      </c>
      <c r="H13" s="8">
        <v>2.2200000000000002</v>
      </c>
      <c r="I13" s="12">
        <v>0</v>
      </c>
    </row>
    <row r="14" spans="2:9" ht="15" customHeight="1" x14ac:dyDescent="0.2">
      <c r="B14" t="s">
        <v>84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85</v>
      </c>
      <c r="C15" s="12">
        <v>8</v>
      </c>
      <c r="D15" s="8">
        <v>7.92</v>
      </c>
      <c r="E15" s="12">
        <v>6</v>
      </c>
      <c r="F15" s="8">
        <v>11.54</v>
      </c>
      <c r="G15" s="12">
        <v>2</v>
      </c>
      <c r="H15" s="8">
        <v>4.4400000000000004</v>
      </c>
      <c r="I15" s="12">
        <v>0</v>
      </c>
    </row>
    <row r="16" spans="2:9" ht="15" customHeight="1" x14ac:dyDescent="0.2">
      <c r="B16" t="s">
        <v>86</v>
      </c>
      <c r="C16" s="12">
        <v>16</v>
      </c>
      <c r="D16" s="8">
        <v>15.84</v>
      </c>
      <c r="E16" s="12">
        <v>13</v>
      </c>
      <c r="F16" s="8">
        <v>25</v>
      </c>
      <c r="G16" s="12">
        <v>3</v>
      </c>
      <c r="H16" s="8">
        <v>6.67</v>
      </c>
      <c r="I16" s="12">
        <v>0</v>
      </c>
    </row>
    <row r="17" spans="2:9" ht="15" customHeight="1" x14ac:dyDescent="0.2">
      <c r="B17" t="s">
        <v>87</v>
      </c>
      <c r="C17" s="12">
        <v>3</v>
      </c>
      <c r="D17" s="8">
        <v>2.97</v>
      </c>
      <c r="E17" s="12">
        <v>2</v>
      </c>
      <c r="F17" s="8">
        <v>3.85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88</v>
      </c>
      <c r="C18" s="12">
        <v>6</v>
      </c>
      <c r="D18" s="8">
        <v>5.94</v>
      </c>
      <c r="E18" s="12">
        <v>3</v>
      </c>
      <c r="F18" s="8">
        <v>5.77</v>
      </c>
      <c r="G18" s="12">
        <v>1</v>
      </c>
      <c r="H18" s="8">
        <v>2.2200000000000002</v>
      </c>
      <c r="I18" s="12">
        <v>0</v>
      </c>
    </row>
    <row r="19" spans="2:9" ht="15" customHeight="1" x14ac:dyDescent="0.2">
      <c r="B19" t="s">
        <v>89</v>
      </c>
      <c r="C19" s="12">
        <v>3</v>
      </c>
      <c r="D19" s="8">
        <v>2.97</v>
      </c>
      <c r="E19" s="12">
        <v>3</v>
      </c>
      <c r="F19" s="8">
        <v>5.77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285</v>
      </c>
      <c r="C20" s="12">
        <f>SUM(LTBL_40604[総数／事業所数])</f>
        <v>101</v>
      </c>
      <c r="E20" s="12">
        <f>SUBTOTAL(109,LTBL_40604[個人／事業所数])</f>
        <v>52</v>
      </c>
      <c r="G20" s="12">
        <f>SUBTOTAL(109,LTBL_40604[法人／事業所数])</f>
        <v>45</v>
      </c>
      <c r="I20" s="12">
        <f>SUBTOTAL(109,LTBL_40604[法人以外の団体／事業所数])</f>
        <v>0</v>
      </c>
    </row>
    <row r="21" spans="2:9" ht="15" customHeight="1" x14ac:dyDescent="0.2">
      <c r="E21" s="11">
        <f>LTBL_40604[[#Totals],[個人／事業所数]]/LTBL_40604[[#Totals],[総数／事業所数]]</f>
        <v>0.51485148514851486</v>
      </c>
      <c r="G21" s="11">
        <f>LTBL_40604[[#Totals],[法人／事業所数]]/LTBL_40604[[#Totals],[総数／事業所数]]</f>
        <v>0.44554455445544555</v>
      </c>
      <c r="I21" s="11">
        <f>LTBL_40604[[#Totals],[法人以外の団体／事業所数]]/LTBL_40604[[#Totals],[総数／事業所数]]</f>
        <v>0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15</v>
      </c>
      <c r="D24" s="8">
        <v>14.85</v>
      </c>
      <c r="E24" s="12">
        <v>13</v>
      </c>
      <c r="F24" s="8">
        <v>25</v>
      </c>
      <c r="G24" s="12">
        <v>2</v>
      </c>
      <c r="H24" s="8">
        <v>4.4400000000000004</v>
      </c>
      <c r="I24" s="12">
        <v>0</v>
      </c>
    </row>
    <row r="25" spans="2:9" ht="15" customHeight="1" x14ac:dyDescent="0.2">
      <c r="B25" t="s">
        <v>98</v>
      </c>
      <c r="C25" s="12">
        <v>14</v>
      </c>
      <c r="D25" s="8">
        <v>13.86</v>
      </c>
      <c r="E25" s="12">
        <v>0</v>
      </c>
      <c r="F25" s="8">
        <v>0</v>
      </c>
      <c r="G25" s="12">
        <v>14</v>
      </c>
      <c r="H25" s="8">
        <v>31.11</v>
      </c>
      <c r="I25" s="12">
        <v>0</v>
      </c>
    </row>
    <row r="26" spans="2:9" ht="15" customHeight="1" x14ac:dyDescent="0.2">
      <c r="B26" t="s">
        <v>105</v>
      </c>
      <c r="C26" s="12">
        <v>9</v>
      </c>
      <c r="D26" s="8">
        <v>8.91</v>
      </c>
      <c r="E26" s="12">
        <v>8</v>
      </c>
      <c r="F26" s="8">
        <v>15.38</v>
      </c>
      <c r="G26" s="12">
        <v>1</v>
      </c>
      <c r="H26" s="8">
        <v>2.2200000000000002</v>
      </c>
      <c r="I26" s="12">
        <v>0</v>
      </c>
    </row>
    <row r="27" spans="2:9" ht="15" customHeight="1" x14ac:dyDescent="0.2">
      <c r="B27" t="s">
        <v>107</v>
      </c>
      <c r="C27" s="12">
        <v>9</v>
      </c>
      <c r="D27" s="8">
        <v>8.91</v>
      </c>
      <c r="E27" s="12">
        <v>3</v>
      </c>
      <c r="F27" s="8">
        <v>5.77</v>
      </c>
      <c r="G27" s="12">
        <v>6</v>
      </c>
      <c r="H27" s="8">
        <v>13.33</v>
      </c>
      <c r="I27" s="12">
        <v>0</v>
      </c>
    </row>
    <row r="28" spans="2:9" ht="15" customHeight="1" x14ac:dyDescent="0.2">
      <c r="B28" t="s">
        <v>112</v>
      </c>
      <c r="C28" s="12">
        <v>7</v>
      </c>
      <c r="D28" s="8">
        <v>6.93</v>
      </c>
      <c r="E28" s="12">
        <v>5</v>
      </c>
      <c r="F28" s="8">
        <v>9.6199999999999992</v>
      </c>
      <c r="G28" s="12">
        <v>2</v>
      </c>
      <c r="H28" s="8">
        <v>4.4400000000000004</v>
      </c>
      <c r="I28" s="12">
        <v>0</v>
      </c>
    </row>
    <row r="29" spans="2:9" ht="15" customHeight="1" x14ac:dyDescent="0.2">
      <c r="B29" t="s">
        <v>106</v>
      </c>
      <c r="C29" s="12">
        <v>6</v>
      </c>
      <c r="D29" s="8">
        <v>5.94</v>
      </c>
      <c r="E29" s="12">
        <v>5</v>
      </c>
      <c r="F29" s="8">
        <v>9.6199999999999992</v>
      </c>
      <c r="G29" s="12">
        <v>1</v>
      </c>
      <c r="H29" s="8">
        <v>2.2200000000000002</v>
      </c>
      <c r="I29" s="12">
        <v>0</v>
      </c>
    </row>
    <row r="30" spans="2:9" ht="15" customHeight="1" x14ac:dyDescent="0.2">
      <c r="B30" t="s">
        <v>119</v>
      </c>
      <c r="C30" s="12">
        <v>5</v>
      </c>
      <c r="D30" s="8">
        <v>4.95</v>
      </c>
      <c r="E30" s="12">
        <v>0</v>
      </c>
      <c r="F30" s="8">
        <v>0</v>
      </c>
      <c r="G30" s="12">
        <v>5</v>
      </c>
      <c r="H30" s="8">
        <v>11.11</v>
      </c>
      <c r="I30" s="12">
        <v>0</v>
      </c>
    </row>
    <row r="31" spans="2:9" ht="15" customHeight="1" x14ac:dyDescent="0.2">
      <c r="B31" t="s">
        <v>100</v>
      </c>
      <c r="C31" s="12">
        <v>4</v>
      </c>
      <c r="D31" s="8">
        <v>3.96</v>
      </c>
      <c r="E31" s="12">
        <v>3</v>
      </c>
      <c r="F31" s="8">
        <v>5.77</v>
      </c>
      <c r="G31" s="12">
        <v>1</v>
      </c>
      <c r="H31" s="8">
        <v>2.2200000000000002</v>
      </c>
      <c r="I31" s="12">
        <v>0</v>
      </c>
    </row>
    <row r="32" spans="2:9" ht="15" customHeight="1" x14ac:dyDescent="0.2">
      <c r="B32" t="s">
        <v>99</v>
      </c>
      <c r="C32" s="12">
        <v>3</v>
      </c>
      <c r="D32" s="8">
        <v>2.97</v>
      </c>
      <c r="E32" s="12">
        <v>0</v>
      </c>
      <c r="F32" s="8">
        <v>0</v>
      </c>
      <c r="G32" s="12">
        <v>3</v>
      </c>
      <c r="H32" s="8">
        <v>6.67</v>
      </c>
      <c r="I32" s="12">
        <v>0</v>
      </c>
    </row>
    <row r="33" spans="2:9" ht="15" customHeight="1" x14ac:dyDescent="0.2">
      <c r="B33" t="s">
        <v>104</v>
      </c>
      <c r="C33" s="12">
        <v>3</v>
      </c>
      <c r="D33" s="8">
        <v>2.97</v>
      </c>
      <c r="E33" s="12">
        <v>3</v>
      </c>
      <c r="F33" s="8">
        <v>5.77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114</v>
      </c>
      <c r="C34" s="12">
        <v>3</v>
      </c>
      <c r="D34" s="8">
        <v>2.97</v>
      </c>
      <c r="E34" s="12">
        <v>2</v>
      </c>
      <c r="F34" s="8">
        <v>3.85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115</v>
      </c>
      <c r="C35" s="12">
        <v>3</v>
      </c>
      <c r="D35" s="8">
        <v>2.97</v>
      </c>
      <c r="E35" s="12">
        <v>3</v>
      </c>
      <c r="F35" s="8">
        <v>5.77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116</v>
      </c>
      <c r="C36" s="12">
        <v>3</v>
      </c>
      <c r="D36" s="8">
        <v>2.97</v>
      </c>
      <c r="E36" s="12">
        <v>0</v>
      </c>
      <c r="F36" s="8">
        <v>0</v>
      </c>
      <c r="G36" s="12">
        <v>1</v>
      </c>
      <c r="H36" s="8">
        <v>2.2200000000000002</v>
      </c>
      <c r="I36" s="12">
        <v>0</v>
      </c>
    </row>
    <row r="37" spans="2:9" ht="15" customHeight="1" x14ac:dyDescent="0.2">
      <c r="B37" t="s">
        <v>123</v>
      </c>
      <c r="C37" s="12">
        <v>3</v>
      </c>
      <c r="D37" s="8">
        <v>2.97</v>
      </c>
      <c r="E37" s="12">
        <v>3</v>
      </c>
      <c r="F37" s="8">
        <v>5.77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103</v>
      </c>
      <c r="C38" s="12">
        <v>2</v>
      </c>
      <c r="D38" s="8">
        <v>1.98</v>
      </c>
      <c r="E38" s="12">
        <v>1</v>
      </c>
      <c r="F38" s="8">
        <v>1.92</v>
      </c>
      <c r="G38" s="12">
        <v>1</v>
      </c>
      <c r="H38" s="8">
        <v>2.2200000000000002</v>
      </c>
      <c r="I38" s="12">
        <v>0</v>
      </c>
    </row>
    <row r="39" spans="2:9" ht="15" customHeight="1" x14ac:dyDescent="0.2">
      <c r="B39" t="s">
        <v>135</v>
      </c>
      <c r="C39" s="12">
        <v>1</v>
      </c>
      <c r="D39" s="8">
        <v>0.99</v>
      </c>
      <c r="E39" s="12">
        <v>0</v>
      </c>
      <c r="F39" s="8">
        <v>0</v>
      </c>
      <c r="G39" s="12">
        <v>1</v>
      </c>
      <c r="H39" s="8">
        <v>2.2200000000000002</v>
      </c>
      <c r="I39" s="12">
        <v>0</v>
      </c>
    </row>
    <row r="40" spans="2:9" ht="15" customHeight="1" x14ac:dyDescent="0.2">
      <c r="B40" t="s">
        <v>131</v>
      </c>
      <c r="C40" s="12">
        <v>1</v>
      </c>
      <c r="D40" s="8">
        <v>0.99</v>
      </c>
      <c r="E40" s="12">
        <v>0</v>
      </c>
      <c r="F40" s="8">
        <v>0</v>
      </c>
      <c r="G40" s="12">
        <v>1</v>
      </c>
      <c r="H40" s="8">
        <v>2.2200000000000002</v>
      </c>
      <c r="I40" s="12">
        <v>0</v>
      </c>
    </row>
    <row r="41" spans="2:9" ht="15" customHeight="1" x14ac:dyDescent="0.2">
      <c r="B41" t="s">
        <v>142</v>
      </c>
      <c r="C41" s="12">
        <v>1</v>
      </c>
      <c r="D41" s="8">
        <v>0.99</v>
      </c>
      <c r="E41" s="12">
        <v>0</v>
      </c>
      <c r="F41" s="8">
        <v>0</v>
      </c>
      <c r="G41" s="12">
        <v>1</v>
      </c>
      <c r="H41" s="8">
        <v>2.2200000000000002</v>
      </c>
      <c r="I41" s="12">
        <v>0</v>
      </c>
    </row>
    <row r="42" spans="2:9" ht="15" customHeight="1" x14ac:dyDescent="0.2">
      <c r="B42" t="s">
        <v>136</v>
      </c>
      <c r="C42" s="12">
        <v>1</v>
      </c>
      <c r="D42" s="8">
        <v>0.99</v>
      </c>
      <c r="E42" s="12">
        <v>1</v>
      </c>
      <c r="F42" s="8">
        <v>1.92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129</v>
      </c>
      <c r="C43" s="12">
        <v>1</v>
      </c>
      <c r="D43" s="8">
        <v>0.99</v>
      </c>
      <c r="E43" s="12">
        <v>0</v>
      </c>
      <c r="F43" s="8">
        <v>0</v>
      </c>
      <c r="G43" s="12">
        <v>1</v>
      </c>
      <c r="H43" s="8">
        <v>2.2200000000000002</v>
      </c>
      <c r="I43" s="12">
        <v>0</v>
      </c>
    </row>
    <row r="44" spans="2:9" ht="15" customHeight="1" x14ac:dyDescent="0.2">
      <c r="B44" t="s">
        <v>148</v>
      </c>
      <c r="C44" s="12">
        <v>1</v>
      </c>
      <c r="D44" s="8">
        <v>0.99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125</v>
      </c>
      <c r="C45" s="12">
        <v>1</v>
      </c>
      <c r="D45" s="8">
        <v>0.99</v>
      </c>
      <c r="E45" s="12">
        <v>0</v>
      </c>
      <c r="F45" s="8">
        <v>0</v>
      </c>
      <c r="G45" s="12">
        <v>1</v>
      </c>
      <c r="H45" s="8">
        <v>2.2200000000000002</v>
      </c>
      <c r="I45" s="12">
        <v>0</v>
      </c>
    </row>
    <row r="46" spans="2:9" ht="15" customHeight="1" x14ac:dyDescent="0.2">
      <c r="B46" t="s">
        <v>102</v>
      </c>
      <c r="C46" s="12">
        <v>1</v>
      </c>
      <c r="D46" s="8">
        <v>0.99</v>
      </c>
      <c r="E46" s="12">
        <v>0</v>
      </c>
      <c r="F46" s="8">
        <v>0</v>
      </c>
      <c r="G46" s="12">
        <v>1</v>
      </c>
      <c r="H46" s="8">
        <v>2.2200000000000002</v>
      </c>
      <c r="I46" s="12">
        <v>0</v>
      </c>
    </row>
    <row r="47" spans="2:9" ht="15" customHeight="1" x14ac:dyDescent="0.2">
      <c r="B47" t="s">
        <v>108</v>
      </c>
      <c r="C47" s="12">
        <v>1</v>
      </c>
      <c r="D47" s="8">
        <v>0.99</v>
      </c>
      <c r="E47" s="12">
        <v>0</v>
      </c>
      <c r="F47" s="8">
        <v>0</v>
      </c>
      <c r="G47" s="12">
        <v>1</v>
      </c>
      <c r="H47" s="8">
        <v>2.2200000000000002</v>
      </c>
      <c r="I47" s="12">
        <v>0</v>
      </c>
    </row>
    <row r="48" spans="2:9" ht="15" customHeight="1" x14ac:dyDescent="0.2">
      <c r="B48" t="s">
        <v>109</v>
      </c>
      <c r="C48" s="12">
        <v>1</v>
      </c>
      <c r="D48" s="8">
        <v>0.99</v>
      </c>
      <c r="E48" s="12">
        <v>1</v>
      </c>
      <c r="F48" s="8">
        <v>1.92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121</v>
      </c>
      <c r="C49" s="12">
        <v>1</v>
      </c>
      <c r="D49" s="8">
        <v>0.99</v>
      </c>
      <c r="E49" s="12">
        <v>1</v>
      </c>
      <c r="F49" s="8">
        <v>1.92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118</v>
      </c>
      <c r="C50" s="12">
        <v>1</v>
      </c>
      <c r="D50" s="8">
        <v>0.99</v>
      </c>
      <c r="E50" s="12">
        <v>0</v>
      </c>
      <c r="F50" s="8">
        <v>0</v>
      </c>
      <c r="G50" s="12">
        <v>1</v>
      </c>
      <c r="H50" s="8">
        <v>2.2200000000000002</v>
      </c>
      <c r="I50" s="12">
        <v>0</v>
      </c>
    </row>
    <row r="53" spans="2:9" ht="33" customHeight="1" x14ac:dyDescent="0.2">
      <c r="B53" t="s">
        <v>287</v>
      </c>
      <c r="C53" s="10" t="s">
        <v>91</v>
      </c>
      <c r="D53" s="10" t="s">
        <v>92</v>
      </c>
      <c r="E53" s="10" t="s">
        <v>93</v>
      </c>
      <c r="F53" s="10" t="s">
        <v>94</v>
      </c>
      <c r="G53" s="10" t="s">
        <v>95</v>
      </c>
      <c r="H53" s="10" t="s">
        <v>96</v>
      </c>
      <c r="I53" s="10" t="s">
        <v>97</v>
      </c>
    </row>
    <row r="54" spans="2:9" ht="15" customHeight="1" x14ac:dyDescent="0.2">
      <c r="B54" t="s">
        <v>154</v>
      </c>
      <c r="C54" s="12">
        <v>7</v>
      </c>
      <c r="D54" s="8">
        <v>6.93</v>
      </c>
      <c r="E54" s="12">
        <v>0</v>
      </c>
      <c r="F54" s="8">
        <v>0</v>
      </c>
      <c r="G54" s="12">
        <v>7</v>
      </c>
      <c r="H54" s="8">
        <v>15.56</v>
      </c>
      <c r="I54" s="12">
        <v>0</v>
      </c>
    </row>
    <row r="55" spans="2:9" ht="15" customHeight="1" x14ac:dyDescent="0.2">
      <c r="B55" t="s">
        <v>170</v>
      </c>
      <c r="C55" s="12">
        <v>7</v>
      </c>
      <c r="D55" s="8">
        <v>6.93</v>
      </c>
      <c r="E55" s="12">
        <v>6</v>
      </c>
      <c r="F55" s="8">
        <v>11.54</v>
      </c>
      <c r="G55" s="12">
        <v>1</v>
      </c>
      <c r="H55" s="8">
        <v>2.2200000000000002</v>
      </c>
      <c r="I55" s="12">
        <v>0</v>
      </c>
    </row>
    <row r="56" spans="2:9" ht="15" customHeight="1" x14ac:dyDescent="0.2">
      <c r="B56" t="s">
        <v>169</v>
      </c>
      <c r="C56" s="12">
        <v>6</v>
      </c>
      <c r="D56" s="8">
        <v>5.94</v>
      </c>
      <c r="E56" s="12">
        <v>6</v>
      </c>
      <c r="F56" s="8">
        <v>11.54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180</v>
      </c>
      <c r="C57" s="12">
        <v>5</v>
      </c>
      <c r="D57" s="8">
        <v>4.95</v>
      </c>
      <c r="E57" s="12">
        <v>0</v>
      </c>
      <c r="F57" s="8">
        <v>0</v>
      </c>
      <c r="G57" s="12">
        <v>5</v>
      </c>
      <c r="H57" s="8">
        <v>11.11</v>
      </c>
      <c r="I57" s="12">
        <v>0</v>
      </c>
    </row>
    <row r="58" spans="2:9" ht="15" customHeight="1" x14ac:dyDescent="0.2">
      <c r="B58" t="s">
        <v>158</v>
      </c>
      <c r="C58" s="12">
        <v>4</v>
      </c>
      <c r="D58" s="8">
        <v>3.96</v>
      </c>
      <c r="E58" s="12">
        <v>4</v>
      </c>
      <c r="F58" s="8">
        <v>7.69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205</v>
      </c>
      <c r="C59" s="12">
        <v>4</v>
      </c>
      <c r="D59" s="8">
        <v>3.96</v>
      </c>
      <c r="E59" s="12">
        <v>0</v>
      </c>
      <c r="F59" s="8">
        <v>0</v>
      </c>
      <c r="G59" s="12">
        <v>4</v>
      </c>
      <c r="H59" s="8">
        <v>8.89</v>
      </c>
      <c r="I59" s="12">
        <v>0</v>
      </c>
    </row>
    <row r="60" spans="2:9" ht="15" customHeight="1" x14ac:dyDescent="0.2">
      <c r="B60" t="s">
        <v>174</v>
      </c>
      <c r="C60" s="12">
        <v>3</v>
      </c>
      <c r="D60" s="8">
        <v>2.97</v>
      </c>
      <c r="E60" s="12">
        <v>2</v>
      </c>
      <c r="F60" s="8">
        <v>3.85</v>
      </c>
      <c r="G60" s="12">
        <v>1</v>
      </c>
      <c r="H60" s="8">
        <v>2.2200000000000002</v>
      </c>
      <c r="I60" s="12">
        <v>0</v>
      </c>
    </row>
    <row r="61" spans="2:9" ht="15" customHeight="1" x14ac:dyDescent="0.2">
      <c r="B61" t="s">
        <v>159</v>
      </c>
      <c r="C61" s="12">
        <v>3</v>
      </c>
      <c r="D61" s="8">
        <v>2.97</v>
      </c>
      <c r="E61" s="12">
        <v>3</v>
      </c>
      <c r="F61" s="8">
        <v>5.77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208</v>
      </c>
      <c r="C62" s="12">
        <v>3</v>
      </c>
      <c r="D62" s="8">
        <v>2.97</v>
      </c>
      <c r="E62" s="12">
        <v>2</v>
      </c>
      <c r="F62" s="8">
        <v>3.85</v>
      </c>
      <c r="G62" s="12">
        <v>1</v>
      </c>
      <c r="H62" s="8">
        <v>2.2200000000000002</v>
      </c>
      <c r="I62" s="12">
        <v>0</v>
      </c>
    </row>
    <row r="63" spans="2:9" ht="15" customHeight="1" x14ac:dyDescent="0.2">
      <c r="B63" t="s">
        <v>173</v>
      </c>
      <c r="C63" s="12">
        <v>3</v>
      </c>
      <c r="D63" s="8">
        <v>2.97</v>
      </c>
      <c r="E63" s="12">
        <v>3</v>
      </c>
      <c r="F63" s="8">
        <v>5.77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232</v>
      </c>
      <c r="C64" s="12">
        <v>2</v>
      </c>
      <c r="D64" s="8">
        <v>1.98</v>
      </c>
      <c r="E64" s="12">
        <v>0</v>
      </c>
      <c r="F64" s="8">
        <v>0</v>
      </c>
      <c r="G64" s="12">
        <v>2</v>
      </c>
      <c r="H64" s="8">
        <v>4.4400000000000004</v>
      </c>
      <c r="I64" s="12">
        <v>0</v>
      </c>
    </row>
    <row r="65" spans="2:9" ht="15" customHeight="1" x14ac:dyDescent="0.2">
      <c r="B65" t="s">
        <v>268</v>
      </c>
      <c r="C65" s="12">
        <v>2</v>
      </c>
      <c r="D65" s="8">
        <v>1.98</v>
      </c>
      <c r="E65" s="12">
        <v>0</v>
      </c>
      <c r="F65" s="8">
        <v>0</v>
      </c>
      <c r="G65" s="12">
        <v>2</v>
      </c>
      <c r="H65" s="8">
        <v>4.4400000000000004</v>
      </c>
      <c r="I65" s="12">
        <v>0</v>
      </c>
    </row>
    <row r="66" spans="2:9" ht="15" customHeight="1" x14ac:dyDescent="0.2">
      <c r="B66" t="s">
        <v>186</v>
      </c>
      <c r="C66" s="12">
        <v>2</v>
      </c>
      <c r="D66" s="8">
        <v>1.98</v>
      </c>
      <c r="E66" s="12">
        <v>0</v>
      </c>
      <c r="F66" s="8">
        <v>0</v>
      </c>
      <c r="G66" s="12">
        <v>2</v>
      </c>
      <c r="H66" s="8">
        <v>4.4400000000000004</v>
      </c>
      <c r="I66" s="12">
        <v>0</v>
      </c>
    </row>
    <row r="67" spans="2:9" ht="15" customHeight="1" x14ac:dyDescent="0.2">
      <c r="B67" t="s">
        <v>157</v>
      </c>
      <c r="C67" s="12">
        <v>2</v>
      </c>
      <c r="D67" s="8">
        <v>1.98</v>
      </c>
      <c r="E67" s="12">
        <v>2</v>
      </c>
      <c r="F67" s="8">
        <v>3.85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262</v>
      </c>
      <c r="C68" s="12">
        <v>2</v>
      </c>
      <c r="D68" s="8">
        <v>1.98</v>
      </c>
      <c r="E68" s="12">
        <v>2</v>
      </c>
      <c r="F68" s="8">
        <v>3.85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177</v>
      </c>
      <c r="C69" s="12">
        <v>2</v>
      </c>
      <c r="D69" s="8">
        <v>1.98</v>
      </c>
      <c r="E69" s="12">
        <v>1</v>
      </c>
      <c r="F69" s="8">
        <v>1.92</v>
      </c>
      <c r="G69" s="12">
        <v>1</v>
      </c>
      <c r="H69" s="8">
        <v>2.2200000000000002</v>
      </c>
      <c r="I69" s="12">
        <v>0</v>
      </c>
    </row>
    <row r="70" spans="2:9" ht="15" customHeight="1" x14ac:dyDescent="0.2">
      <c r="B70" t="s">
        <v>160</v>
      </c>
      <c r="C70" s="12">
        <v>2</v>
      </c>
      <c r="D70" s="8">
        <v>1.98</v>
      </c>
      <c r="E70" s="12">
        <v>1</v>
      </c>
      <c r="F70" s="8">
        <v>1.92</v>
      </c>
      <c r="G70" s="12">
        <v>1</v>
      </c>
      <c r="H70" s="8">
        <v>2.2200000000000002</v>
      </c>
      <c r="I70" s="12">
        <v>0</v>
      </c>
    </row>
    <row r="71" spans="2:9" ht="15" customHeight="1" x14ac:dyDescent="0.2">
      <c r="B71" t="s">
        <v>178</v>
      </c>
      <c r="C71" s="12">
        <v>2</v>
      </c>
      <c r="D71" s="8">
        <v>1.98</v>
      </c>
      <c r="E71" s="12">
        <v>2</v>
      </c>
      <c r="F71" s="8">
        <v>3.85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166</v>
      </c>
      <c r="C72" s="12">
        <v>2</v>
      </c>
      <c r="D72" s="8">
        <v>1.98</v>
      </c>
      <c r="E72" s="12">
        <v>1</v>
      </c>
      <c r="F72" s="8">
        <v>1.92</v>
      </c>
      <c r="G72" s="12">
        <v>1</v>
      </c>
      <c r="H72" s="8">
        <v>2.2200000000000002</v>
      </c>
      <c r="I72" s="12">
        <v>0</v>
      </c>
    </row>
    <row r="73" spans="2:9" ht="15" customHeight="1" x14ac:dyDescent="0.2">
      <c r="B73" t="s">
        <v>245</v>
      </c>
      <c r="C73" s="12">
        <v>2</v>
      </c>
      <c r="D73" s="8">
        <v>1.98</v>
      </c>
      <c r="E73" s="12">
        <v>2</v>
      </c>
      <c r="F73" s="8">
        <v>3.85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182</v>
      </c>
      <c r="C74" s="12">
        <v>2</v>
      </c>
      <c r="D74" s="8">
        <v>1.98</v>
      </c>
      <c r="E74" s="12">
        <v>1</v>
      </c>
      <c r="F74" s="8">
        <v>1.92</v>
      </c>
      <c r="G74" s="12">
        <v>1</v>
      </c>
      <c r="H74" s="8">
        <v>2.2200000000000002</v>
      </c>
      <c r="I74" s="12">
        <v>0</v>
      </c>
    </row>
    <row r="75" spans="2:9" ht="15" customHeight="1" x14ac:dyDescent="0.2">
      <c r="B75" t="s">
        <v>171</v>
      </c>
      <c r="C75" s="12">
        <v>2</v>
      </c>
      <c r="D75" s="8">
        <v>1.98</v>
      </c>
      <c r="E75" s="12">
        <v>2</v>
      </c>
      <c r="F75" s="8">
        <v>3.85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172</v>
      </c>
      <c r="C76" s="12">
        <v>2</v>
      </c>
      <c r="D76" s="8">
        <v>1.98</v>
      </c>
      <c r="E76" s="12">
        <v>2</v>
      </c>
      <c r="F76" s="8">
        <v>3.85</v>
      </c>
      <c r="G76" s="12">
        <v>0</v>
      </c>
      <c r="H76" s="8">
        <v>0</v>
      </c>
      <c r="I76" s="12">
        <v>0</v>
      </c>
    </row>
    <row r="78" spans="2:9" ht="15" customHeight="1" x14ac:dyDescent="0.2">
      <c r="B78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4E3BC-FA07-45C9-A171-ADCD9BDD7127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354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75</v>
      </c>
      <c r="D6" s="8">
        <v>23.29</v>
      </c>
      <c r="E6" s="12">
        <v>19</v>
      </c>
      <c r="F6" s="8">
        <v>9.84</v>
      </c>
      <c r="G6" s="12">
        <v>56</v>
      </c>
      <c r="H6" s="8">
        <v>44.09</v>
      </c>
      <c r="I6" s="12">
        <v>0</v>
      </c>
    </row>
    <row r="7" spans="2:9" ht="15" customHeight="1" x14ac:dyDescent="0.2">
      <c r="B7" t="s">
        <v>77</v>
      </c>
      <c r="C7" s="12">
        <v>15</v>
      </c>
      <c r="D7" s="8">
        <v>4.66</v>
      </c>
      <c r="E7" s="12">
        <v>7</v>
      </c>
      <c r="F7" s="8">
        <v>3.63</v>
      </c>
      <c r="G7" s="12">
        <v>8</v>
      </c>
      <c r="H7" s="8">
        <v>6.3</v>
      </c>
      <c r="I7" s="12">
        <v>0</v>
      </c>
    </row>
    <row r="8" spans="2:9" ht="15" customHeight="1" x14ac:dyDescent="0.2">
      <c r="B8" t="s">
        <v>78</v>
      </c>
      <c r="C8" s="12">
        <v>3</v>
      </c>
      <c r="D8" s="8">
        <v>0.93</v>
      </c>
      <c r="E8" s="12">
        <v>0</v>
      </c>
      <c r="F8" s="8">
        <v>0</v>
      </c>
      <c r="G8" s="12">
        <v>3</v>
      </c>
      <c r="H8" s="8">
        <v>2.36</v>
      </c>
      <c r="I8" s="12">
        <v>0</v>
      </c>
    </row>
    <row r="9" spans="2:9" ht="15" customHeight="1" x14ac:dyDescent="0.2">
      <c r="B9" t="s">
        <v>79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80</v>
      </c>
      <c r="C10" s="12">
        <v>4</v>
      </c>
      <c r="D10" s="8">
        <v>1.24</v>
      </c>
      <c r="E10" s="12">
        <v>0</v>
      </c>
      <c r="F10" s="8">
        <v>0</v>
      </c>
      <c r="G10" s="12">
        <v>4</v>
      </c>
      <c r="H10" s="8">
        <v>3.15</v>
      </c>
      <c r="I10" s="12">
        <v>0</v>
      </c>
    </row>
    <row r="11" spans="2:9" ht="15" customHeight="1" x14ac:dyDescent="0.2">
      <c r="B11" t="s">
        <v>81</v>
      </c>
      <c r="C11" s="12">
        <v>86</v>
      </c>
      <c r="D11" s="8">
        <v>26.71</v>
      </c>
      <c r="E11" s="12">
        <v>62</v>
      </c>
      <c r="F11" s="8">
        <v>32.119999999999997</v>
      </c>
      <c r="G11" s="12">
        <v>24</v>
      </c>
      <c r="H11" s="8">
        <v>18.899999999999999</v>
      </c>
      <c r="I11" s="12">
        <v>0</v>
      </c>
    </row>
    <row r="12" spans="2:9" ht="15" customHeight="1" x14ac:dyDescent="0.2">
      <c r="B12" t="s">
        <v>82</v>
      </c>
      <c r="C12" s="12">
        <v>1</v>
      </c>
      <c r="D12" s="8">
        <v>0.31</v>
      </c>
      <c r="E12" s="12">
        <v>1</v>
      </c>
      <c r="F12" s="8">
        <v>0.52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83</v>
      </c>
      <c r="C13" s="12">
        <v>14</v>
      </c>
      <c r="D13" s="8">
        <v>4.3499999999999996</v>
      </c>
      <c r="E13" s="12">
        <v>7</v>
      </c>
      <c r="F13" s="8">
        <v>3.63</v>
      </c>
      <c r="G13" s="12">
        <v>7</v>
      </c>
      <c r="H13" s="8">
        <v>5.51</v>
      </c>
      <c r="I13" s="12">
        <v>0</v>
      </c>
    </row>
    <row r="14" spans="2:9" ht="15" customHeight="1" x14ac:dyDescent="0.2">
      <c r="B14" t="s">
        <v>84</v>
      </c>
      <c r="C14" s="12">
        <v>3</v>
      </c>
      <c r="D14" s="8">
        <v>0.93</v>
      </c>
      <c r="E14" s="12">
        <v>1</v>
      </c>
      <c r="F14" s="8">
        <v>0.52</v>
      </c>
      <c r="G14" s="12">
        <v>2</v>
      </c>
      <c r="H14" s="8">
        <v>1.57</v>
      </c>
      <c r="I14" s="12">
        <v>0</v>
      </c>
    </row>
    <row r="15" spans="2:9" ht="15" customHeight="1" x14ac:dyDescent="0.2">
      <c r="B15" t="s">
        <v>85</v>
      </c>
      <c r="C15" s="12">
        <v>31</v>
      </c>
      <c r="D15" s="8">
        <v>9.6300000000000008</v>
      </c>
      <c r="E15" s="12">
        <v>24</v>
      </c>
      <c r="F15" s="8">
        <v>12.44</v>
      </c>
      <c r="G15" s="12">
        <v>6</v>
      </c>
      <c r="H15" s="8">
        <v>4.72</v>
      </c>
      <c r="I15" s="12">
        <v>0</v>
      </c>
    </row>
    <row r="16" spans="2:9" ht="15" customHeight="1" x14ac:dyDescent="0.2">
      <c r="B16" t="s">
        <v>86</v>
      </c>
      <c r="C16" s="12">
        <v>57</v>
      </c>
      <c r="D16" s="8">
        <v>17.7</v>
      </c>
      <c r="E16" s="12">
        <v>49</v>
      </c>
      <c r="F16" s="8">
        <v>25.39</v>
      </c>
      <c r="G16" s="12">
        <v>7</v>
      </c>
      <c r="H16" s="8">
        <v>5.51</v>
      </c>
      <c r="I16" s="12">
        <v>0</v>
      </c>
    </row>
    <row r="17" spans="2:9" ht="15" customHeight="1" x14ac:dyDescent="0.2">
      <c r="B17" t="s">
        <v>87</v>
      </c>
      <c r="C17" s="12">
        <v>7</v>
      </c>
      <c r="D17" s="8">
        <v>2.17</v>
      </c>
      <c r="E17" s="12">
        <v>6</v>
      </c>
      <c r="F17" s="8">
        <v>3.11</v>
      </c>
      <c r="G17" s="12">
        <v>1</v>
      </c>
      <c r="H17" s="8">
        <v>0.79</v>
      </c>
      <c r="I17" s="12">
        <v>0</v>
      </c>
    </row>
    <row r="18" spans="2:9" ht="15" customHeight="1" x14ac:dyDescent="0.2">
      <c r="B18" t="s">
        <v>88</v>
      </c>
      <c r="C18" s="12">
        <v>13</v>
      </c>
      <c r="D18" s="8">
        <v>4.04</v>
      </c>
      <c r="E18" s="12">
        <v>7</v>
      </c>
      <c r="F18" s="8">
        <v>3.63</v>
      </c>
      <c r="G18" s="12">
        <v>6</v>
      </c>
      <c r="H18" s="8">
        <v>4.72</v>
      </c>
      <c r="I18" s="12">
        <v>0</v>
      </c>
    </row>
    <row r="19" spans="2:9" ht="15" customHeight="1" x14ac:dyDescent="0.2">
      <c r="B19" t="s">
        <v>89</v>
      </c>
      <c r="C19" s="12">
        <v>13</v>
      </c>
      <c r="D19" s="8">
        <v>4.04</v>
      </c>
      <c r="E19" s="12">
        <v>10</v>
      </c>
      <c r="F19" s="8">
        <v>5.18</v>
      </c>
      <c r="G19" s="12">
        <v>3</v>
      </c>
      <c r="H19" s="8">
        <v>2.36</v>
      </c>
      <c r="I19" s="12">
        <v>0</v>
      </c>
    </row>
    <row r="20" spans="2:9" ht="15" customHeight="1" x14ac:dyDescent="0.2">
      <c r="B20" s="9" t="s">
        <v>285</v>
      </c>
      <c r="C20" s="12">
        <f>SUM(LTBL_40605[総数／事業所数])</f>
        <v>322</v>
      </c>
      <c r="E20" s="12">
        <f>SUBTOTAL(109,LTBL_40605[個人／事業所数])</f>
        <v>193</v>
      </c>
      <c r="G20" s="12">
        <f>SUBTOTAL(109,LTBL_40605[法人／事業所数])</f>
        <v>127</v>
      </c>
      <c r="I20" s="12">
        <f>SUBTOTAL(109,LTBL_40605[法人以外の団体／事業所数])</f>
        <v>0</v>
      </c>
    </row>
    <row r="21" spans="2:9" ht="15" customHeight="1" x14ac:dyDescent="0.2">
      <c r="E21" s="11">
        <f>LTBL_40605[[#Totals],[個人／事業所数]]/LTBL_40605[[#Totals],[総数／事業所数]]</f>
        <v>0.59937888198757761</v>
      </c>
      <c r="G21" s="11">
        <f>LTBL_40605[[#Totals],[法人／事業所数]]/LTBL_40605[[#Totals],[総数／事業所数]]</f>
        <v>0.39440993788819878</v>
      </c>
      <c r="I21" s="11">
        <f>LTBL_40605[[#Totals],[法人以外の団体／事業所数]]/LTBL_40605[[#Totals],[総数／事業所数]]</f>
        <v>0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98</v>
      </c>
      <c r="C24" s="12">
        <v>47</v>
      </c>
      <c r="D24" s="8">
        <v>14.6</v>
      </c>
      <c r="E24" s="12">
        <v>7</v>
      </c>
      <c r="F24" s="8">
        <v>3.63</v>
      </c>
      <c r="G24" s="12">
        <v>40</v>
      </c>
      <c r="H24" s="8">
        <v>31.5</v>
      </c>
      <c r="I24" s="12">
        <v>0</v>
      </c>
    </row>
    <row r="25" spans="2:9" ht="15" customHeight="1" x14ac:dyDescent="0.2">
      <c r="B25" t="s">
        <v>113</v>
      </c>
      <c r="C25" s="12">
        <v>47</v>
      </c>
      <c r="D25" s="8">
        <v>14.6</v>
      </c>
      <c r="E25" s="12">
        <v>42</v>
      </c>
      <c r="F25" s="8">
        <v>21.76</v>
      </c>
      <c r="G25" s="12">
        <v>5</v>
      </c>
      <c r="H25" s="8">
        <v>3.94</v>
      </c>
      <c r="I25" s="12">
        <v>0</v>
      </c>
    </row>
    <row r="26" spans="2:9" ht="15" customHeight="1" x14ac:dyDescent="0.2">
      <c r="B26" t="s">
        <v>105</v>
      </c>
      <c r="C26" s="12">
        <v>33</v>
      </c>
      <c r="D26" s="8">
        <v>10.25</v>
      </c>
      <c r="E26" s="12">
        <v>30</v>
      </c>
      <c r="F26" s="8">
        <v>15.54</v>
      </c>
      <c r="G26" s="12">
        <v>3</v>
      </c>
      <c r="H26" s="8">
        <v>2.36</v>
      </c>
      <c r="I26" s="12">
        <v>0</v>
      </c>
    </row>
    <row r="27" spans="2:9" ht="15" customHeight="1" x14ac:dyDescent="0.2">
      <c r="B27" t="s">
        <v>112</v>
      </c>
      <c r="C27" s="12">
        <v>27</v>
      </c>
      <c r="D27" s="8">
        <v>8.39</v>
      </c>
      <c r="E27" s="12">
        <v>23</v>
      </c>
      <c r="F27" s="8">
        <v>11.92</v>
      </c>
      <c r="G27" s="12">
        <v>4</v>
      </c>
      <c r="H27" s="8">
        <v>3.15</v>
      </c>
      <c r="I27" s="12">
        <v>0</v>
      </c>
    </row>
    <row r="28" spans="2:9" ht="15" customHeight="1" x14ac:dyDescent="0.2">
      <c r="B28" t="s">
        <v>107</v>
      </c>
      <c r="C28" s="12">
        <v>22</v>
      </c>
      <c r="D28" s="8">
        <v>6.83</v>
      </c>
      <c r="E28" s="12">
        <v>15</v>
      </c>
      <c r="F28" s="8">
        <v>7.77</v>
      </c>
      <c r="G28" s="12">
        <v>7</v>
      </c>
      <c r="H28" s="8">
        <v>5.51</v>
      </c>
      <c r="I28" s="12">
        <v>0</v>
      </c>
    </row>
    <row r="29" spans="2:9" ht="15" customHeight="1" x14ac:dyDescent="0.2">
      <c r="B29" t="s">
        <v>100</v>
      </c>
      <c r="C29" s="12">
        <v>17</v>
      </c>
      <c r="D29" s="8">
        <v>5.28</v>
      </c>
      <c r="E29" s="12">
        <v>6</v>
      </c>
      <c r="F29" s="8">
        <v>3.11</v>
      </c>
      <c r="G29" s="12">
        <v>11</v>
      </c>
      <c r="H29" s="8">
        <v>8.66</v>
      </c>
      <c r="I29" s="12">
        <v>0</v>
      </c>
    </row>
    <row r="30" spans="2:9" ht="15" customHeight="1" x14ac:dyDescent="0.2">
      <c r="B30" t="s">
        <v>106</v>
      </c>
      <c r="C30" s="12">
        <v>15</v>
      </c>
      <c r="D30" s="8">
        <v>4.66</v>
      </c>
      <c r="E30" s="12">
        <v>10</v>
      </c>
      <c r="F30" s="8">
        <v>5.18</v>
      </c>
      <c r="G30" s="12">
        <v>5</v>
      </c>
      <c r="H30" s="8">
        <v>3.94</v>
      </c>
      <c r="I30" s="12">
        <v>0</v>
      </c>
    </row>
    <row r="31" spans="2:9" ht="15" customHeight="1" x14ac:dyDescent="0.2">
      <c r="B31" t="s">
        <v>109</v>
      </c>
      <c r="C31" s="12">
        <v>12</v>
      </c>
      <c r="D31" s="8">
        <v>3.73</v>
      </c>
      <c r="E31" s="12">
        <v>7</v>
      </c>
      <c r="F31" s="8">
        <v>3.63</v>
      </c>
      <c r="G31" s="12">
        <v>5</v>
      </c>
      <c r="H31" s="8">
        <v>3.94</v>
      </c>
      <c r="I31" s="12">
        <v>0</v>
      </c>
    </row>
    <row r="32" spans="2:9" ht="15" customHeight="1" x14ac:dyDescent="0.2">
      <c r="B32" t="s">
        <v>99</v>
      </c>
      <c r="C32" s="12">
        <v>11</v>
      </c>
      <c r="D32" s="8">
        <v>3.42</v>
      </c>
      <c r="E32" s="12">
        <v>6</v>
      </c>
      <c r="F32" s="8">
        <v>3.11</v>
      </c>
      <c r="G32" s="12">
        <v>5</v>
      </c>
      <c r="H32" s="8">
        <v>3.94</v>
      </c>
      <c r="I32" s="12">
        <v>0</v>
      </c>
    </row>
    <row r="33" spans="2:9" ht="15" customHeight="1" x14ac:dyDescent="0.2">
      <c r="B33" t="s">
        <v>123</v>
      </c>
      <c r="C33" s="12">
        <v>10</v>
      </c>
      <c r="D33" s="8">
        <v>3.11</v>
      </c>
      <c r="E33" s="12">
        <v>10</v>
      </c>
      <c r="F33" s="8">
        <v>5.18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118</v>
      </c>
      <c r="C34" s="12">
        <v>9</v>
      </c>
      <c r="D34" s="8">
        <v>2.8</v>
      </c>
      <c r="E34" s="12">
        <v>7</v>
      </c>
      <c r="F34" s="8">
        <v>3.63</v>
      </c>
      <c r="G34" s="12">
        <v>2</v>
      </c>
      <c r="H34" s="8">
        <v>1.57</v>
      </c>
      <c r="I34" s="12">
        <v>0</v>
      </c>
    </row>
    <row r="35" spans="2:9" ht="15" customHeight="1" x14ac:dyDescent="0.2">
      <c r="B35" t="s">
        <v>115</v>
      </c>
      <c r="C35" s="12">
        <v>9</v>
      </c>
      <c r="D35" s="8">
        <v>2.8</v>
      </c>
      <c r="E35" s="12">
        <v>6</v>
      </c>
      <c r="F35" s="8">
        <v>3.11</v>
      </c>
      <c r="G35" s="12">
        <v>3</v>
      </c>
      <c r="H35" s="8">
        <v>2.36</v>
      </c>
      <c r="I35" s="12">
        <v>0</v>
      </c>
    </row>
    <row r="36" spans="2:9" ht="15" customHeight="1" x14ac:dyDescent="0.2">
      <c r="B36" t="s">
        <v>114</v>
      </c>
      <c r="C36" s="12">
        <v>7</v>
      </c>
      <c r="D36" s="8">
        <v>2.17</v>
      </c>
      <c r="E36" s="12">
        <v>6</v>
      </c>
      <c r="F36" s="8">
        <v>3.11</v>
      </c>
      <c r="G36" s="12">
        <v>1</v>
      </c>
      <c r="H36" s="8">
        <v>0.79</v>
      </c>
      <c r="I36" s="12">
        <v>0</v>
      </c>
    </row>
    <row r="37" spans="2:9" ht="15" customHeight="1" x14ac:dyDescent="0.2">
      <c r="B37" t="s">
        <v>104</v>
      </c>
      <c r="C37" s="12">
        <v>5</v>
      </c>
      <c r="D37" s="8">
        <v>1.55</v>
      </c>
      <c r="E37" s="12">
        <v>5</v>
      </c>
      <c r="F37" s="8">
        <v>2.59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121</v>
      </c>
      <c r="C38" s="12">
        <v>4</v>
      </c>
      <c r="D38" s="8">
        <v>1.24</v>
      </c>
      <c r="E38" s="12">
        <v>1</v>
      </c>
      <c r="F38" s="8">
        <v>0.52</v>
      </c>
      <c r="G38" s="12">
        <v>2</v>
      </c>
      <c r="H38" s="8">
        <v>1.57</v>
      </c>
      <c r="I38" s="12">
        <v>0</v>
      </c>
    </row>
    <row r="39" spans="2:9" ht="15" customHeight="1" x14ac:dyDescent="0.2">
      <c r="B39" t="s">
        <v>116</v>
      </c>
      <c r="C39" s="12">
        <v>4</v>
      </c>
      <c r="D39" s="8">
        <v>1.24</v>
      </c>
      <c r="E39" s="12">
        <v>1</v>
      </c>
      <c r="F39" s="8">
        <v>0.52</v>
      </c>
      <c r="G39" s="12">
        <v>3</v>
      </c>
      <c r="H39" s="8">
        <v>2.36</v>
      </c>
      <c r="I39" s="12">
        <v>0</v>
      </c>
    </row>
    <row r="40" spans="2:9" ht="15" customHeight="1" x14ac:dyDescent="0.2">
      <c r="B40" t="s">
        <v>131</v>
      </c>
      <c r="C40" s="12">
        <v>3</v>
      </c>
      <c r="D40" s="8">
        <v>0.93</v>
      </c>
      <c r="E40" s="12">
        <v>2</v>
      </c>
      <c r="F40" s="8">
        <v>1.04</v>
      </c>
      <c r="G40" s="12">
        <v>1</v>
      </c>
      <c r="H40" s="8">
        <v>0.79</v>
      </c>
      <c r="I40" s="12">
        <v>0</v>
      </c>
    </row>
    <row r="41" spans="2:9" ht="15" customHeight="1" x14ac:dyDescent="0.2">
      <c r="B41" t="s">
        <v>119</v>
      </c>
      <c r="C41" s="12">
        <v>3</v>
      </c>
      <c r="D41" s="8">
        <v>0.93</v>
      </c>
      <c r="E41" s="12">
        <v>1</v>
      </c>
      <c r="F41" s="8">
        <v>0.52</v>
      </c>
      <c r="G41" s="12">
        <v>2</v>
      </c>
      <c r="H41" s="8">
        <v>1.57</v>
      </c>
      <c r="I41" s="12">
        <v>0</v>
      </c>
    </row>
    <row r="42" spans="2:9" ht="15" customHeight="1" x14ac:dyDescent="0.2">
      <c r="B42" t="s">
        <v>146</v>
      </c>
      <c r="C42" s="12">
        <v>3</v>
      </c>
      <c r="D42" s="8">
        <v>0.93</v>
      </c>
      <c r="E42" s="12">
        <v>0</v>
      </c>
      <c r="F42" s="8">
        <v>0</v>
      </c>
      <c r="G42" s="12">
        <v>3</v>
      </c>
      <c r="H42" s="8">
        <v>2.36</v>
      </c>
      <c r="I42" s="12">
        <v>0</v>
      </c>
    </row>
    <row r="43" spans="2:9" ht="15" customHeight="1" x14ac:dyDescent="0.2">
      <c r="B43" t="s">
        <v>102</v>
      </c>
      <c r="C43" s="12">
        <v>3</v>
      </c>
      <c r="D43" s="8">
        <v>0.93</v>
      </c>
      <c r="E43" s="12">
        <v>0</v>
      </c>
      <c r="F43" s="8">
        <v>0</v>
      </c>
      <c r="G43" s="12">
        <v>3</v>
      </c>
      <c r="H43" s="8">
        <v>2.36</v>
      </c>
      <c r="I43" s="12">
        <v>0</v>
      </c>
    </row>
    <row r="44" spans="2:9" ht="15" customHeight="1" x14ac:dyDescent="0.2">
      <c r="B44" t="s">
        <v>111</v>
      </c>
      <c r="C44" s="12">
        <v>3</v>
      </c>
      <c r="D44" s="8">
        <v>0.93</v>
      </c>
      <c r="E44" s="12">
        <v>1</v>
      </c>
      <c r="F44" s="8">
        <v>0.52</v>
      </c>
      <c r="G44" s="12">
        <v>2</v>
      </c>
      <c r="H44" s="8">
        <v>1.57</v>
      </c>
      <c r="I44" s="12">
        <v>0</v>
      </c>
    </row>
    <row r="47" spans="2:9" ht="33" customHeight="1" x14ac:dyDescent="0.2">
      <c r="B47" t="s">
        <v>287</v>
      </c>
      <c r="C47" s="10" t="s">
        <v>91</v>
      </c>
      <c r="D47" s="10" t="s">
        <v>92</v>
      </c>
      <c r="E47" s="10" t="s">
        <v>93</v>
      </c>
      <c r="F47" s="10" t="s">
        <v>94</v>
      </c>
      <c r="G47" s="10" t="s">
        <v>95</v>
      </c>
      <c r="H47" s="10" t="s">
        <v>96</v>
      </c>
      <c r="I47" s="10" t="s">
        <v>97</v>
      </c>
    </row>
    <row r="48" spans="2:9" ht="15" customHeight="1" x14ac:dyDescent="0.2">
      <c r="B48" t="s">
        <v>154</v>
      </c>
      <c r="C48" s="12">
        <v>29</v>
      </c>
      <c r="D48" s="8">
        <v>9.01</v>
      </c>
      <c r="E48" s="12">
        <v>3</v>
      </c>
      <c r="F48" s="8">
        <v>1.55</v>
      </c>
      <c r="G48" s="12">
        <v>26</v>
      </c>
      <c r="H48" s="8">
        <v>20.47</v>
      </c>
      <c r="I48" s="12">
        <v>0</v>
      </c>
    </row>
    <row r="49" spans="2:9" ht="15" customHeight="1" x14ac:dyDescent="0.2">
      <c r="B49" t="s">
        <v>170</v>
      </c>
      <c r="C49" s="12">
        <v>24</v>
      </c>
      <c r="D49" s="8">
        <v>7.45</v>
      </c>
      <c r="E49" s="12">
        <v>22</v>
      </c>
      <c r="F49" s="8">
        <v>11.4</v>
      </c>
      <c r="G49" s="12">
        <v>2</v>
      </c>
      <c r="H49" s="8">
        <v>1.57</v>
      </c>
      <c r="I49" s="12">
        <v>0</v>
      </c>
    </row>
    <row r="50" spans="2:9" ht="15" customHeight="1" x14ac:dyDescent="0.2">
      <c r="B50" t="s">
        <v>169</v>
      </c>
      <c r="C50" s="12">
        <v>17</v>
      </c>
      <c r="D50" s="8">
        <v>5.28</v>
      </c>
      <c r="E50" s="12">
        <v>17</v>
      </c>
      <c r="F50" s="8">
        <v>8.81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158</v>
      </c>
      <c r="C51" s="12">
        <v>12</v>
      </c>
      <c r="D51" s="8">
        <v>3.73</v>
      </c>
      <c r="E51" s="12">
        <v>10</v>
      </c>
      <c r="F51" s="8">
        <v>5.18</v>
      </c>
      <c r="G51" s="12">
        <v>2</v>
      </c>
      <c r="H51" s="8">
        <v>1.57</v>
      </c>
      <c r="I51" s="12">
        <v>0</v>
      </c>
    </row>
    <row r="52" spans="2:9" ht="15" customHeight="1" x14ac:dyDescent="0.2">
      <c r="B52" t="s">
        <v>167</v>
      </c>
      <c r="C52" s="12">
        <v>12</v>
      </c>
      <c r="D52" s="8">
        <v>3.73</v>
      </c>
      <c r="E52" s="12">
        <v>12</v>
      </c>
      <c r="F52" s="8">
        <v>6.22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156</v>
      </c>
      <c r="C53" s="12">
        <v>10</v>
      </c>
      <c r="D53" s="8">
        <v>3.11</v>
      </c>
      <c r="E53" s="12">
        <v>5</v>
      </c>
      <c r="F53" s="8">
        <v>2.59</v>
      </c>
      <c r="G53" s="12">
        <v>5</v>
      </c>
      <c r="H53" s="8">
        <v>3.94</v>
      </c>
      <c r="I53" s="12">
        <v>0</v>
      </c>
    </row>
    <row r="54" spans="2:9" ht="15" customHeight="1" x14ac:dyDescent="0.2">
      <c r="B54" t="s">
        <v>164</v>
      </c>
      <c r="C54" s="12">
        <v>10</v>
      </c>
      <c r="D54" s="8">
        <v>3.11</v>
      </c>
      <c r="E54" s="12">
        <v>7</v>
      </c>
      <c r="F54" s="8">
        <v>3.63</v>
      </c>
      <c r="G54" s="12">
        <v>3</v>
      </c>
      <c r="H54" s="8">
        <v>2.36</v>
      </c>
      <c r="I54" s="12">
        <v>0</v>
      </c>
    </row>
    <row r="55" spans="2:9" ht="15" customHeight="1" x14ac:dyDescent="0.2">
      <c r="B55" t="s">
        <v>173</v>
      </c>
      <c r="C55" s="12">
        <v>10</v>
      </c>
      <c r="D55" s="8">
        <v>3.11</v>
      </c>
      <c r="E55" s="12">
        <v>10</v>
      </c>
      <c r="F55" s="8">
        <v>5.18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155</v>
      </c>
      <c r="C56" s="12">
        <v>9</v>
      </c>
      <c r="D56" s="8">
        <v>2.8</v>
      </c>
      <c r="E56" s="12">
        <v>2</v>
      </c>
      <c r="F56" s="8">
        <v>1.04</v>
      </c>
      <c r="G56" s="12">
        <v>7</v>
      </c>
      <c r="H56" s="8">
        <v>5.51</v>
      </c>
      <c r="I56" s="12">
        <v>0</v>
      </c>
    </row>
    <row r="57" spans="2:9" ht="15" customHeight="1" x14ac:dyDescent="0.2">
      <c r="B57" t="s">
        <v>208</v>
      </c>
      <c r="C57" s="12">
        <v>9</v>
      </c>
      <c r="D57" s="8">
        <v>2.8</v>
      </c>
      <c r="E57" s="12">
        <v>6</v>
      </c>
      <c r="F57" s="8">
        <v>3.11</v>
      </c>
      <c r="G57" s="12">
        <v>3</v>
      </c>
      <c r="H57" s="8">
        <v>2.36</v>
      </c>
      <c r="I57" s="12">
        <v>0</v>
      </c>
    </row>
    <row r="58" spans="2:9" ht="15" customHeight="1" x14ac:dyDescent="0.2">
      <c r="B58" t="s">
        <v>166</v>
      </c>
      <c r="C58" s="12">
        <v>7</v>
      </c>
      <c r="D58" s="8">
        <v>2.17</v>
      </c>
      <c r="E58" s="12">
        <v>3</v>
      </c>
      <c r="F58" s="8">
        <v>1.55</v>
      </c>
      <c r="G58" s="12">
        <v>4</v>
      </c>
      <c r="H58" s="8">
        <v>3.15</v>
      </c>
      <c r="I58" s="12">
        <v>0</v>
      </c>
    </row>
    <row r="59" spans="2:9" ht="15" customHeight="1" x14ac:dyDescent="0.2">
      <c r="B59" t="s">
        <v>176</v>
      </c>
      <c r="C59" s="12">
        <v>6</v>
      </c>
      <c r="D59" s="8">
        <v>1.86</v>
      </c>
      <c r="E59" s="12">
        <v>6</v>
      </c>
      <c r="F59" s="8">
        <v>3.11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159</v>
      </c>
      <c r="C60" s="12">
        <v>6</v>
      </c>
      <c r="D60" s="8">
        <v>1.86</v>
      </c>
      <c r="E60" s="12">
        <v>4</v>
      </c>
      <c r="F60" s="8">
        <v>2.0699999999999998</v>
      </c>
      <c r="G60" s="12">
        <v>2</v>
      </c>
      <c r="H60" s="8">
        <v>1.57</v>
      </c>
      <c r="I60" s="12">
        <v>0</v>
      </c>
    </row>
    <row r="61" spans="2:9" ht="15" customHeight="1" x14ac:dyDescent="0.2">
      <c r="B61" t="s">
        <v>181</v>
      </c>
      <c r="C61" s="12">
        <v>5</v>
      </c>
      <c r="D61" s="8">
        <v>1.55</v>
      </c>
      <c r="E61" s="12">
        <v>5</v>
      </c>
      <c r="F61" s="8">
        <v>2.59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160</v>
      </c>
      <c r="C62" s="12">
        <v>5</v>
      </c>
      <c r="D62" s="8">
        <v>1.55</v>
      </c>
      <c r="E62" s="12">
        <v>3</v>
      </c>
      <c r="F62" s="8">
        <v>1.55</v>
      </c>
      <c r="G62" s="12">
        <v>2</v>
      </c>
      <c r="H62" s="8">
        <v>1.57</v>
      </c>
      <c r="I62" s="12">
        <v>0</v>
      </c>
    </row>
    <row r="63" spans="2:9" ht="15" customHeight="1" x14ac:dyDescent="0.2">
      <c r="B63" t="s">
        <v>161</v>
      </c>
      <c r="C63" s="12">
        <v>5</v>
      </c>
      <c r="D63" s="8">
        <v>1.55</v>
      </c>
      <c r="E63" s="12">
        <v>4</v>
      </c>
      <c r="F63" s="8">
        <v>2.0699999999999998</v>
      </c>
      <c r="G63" s="12">
        <v>1</v>
      </c>
      <c r="H63" s="8">
        <v>0.79</v>
      </c>
      <c r="I63" s="12">
        <v>0</v>
      </c>
    </row>
    <row r="64" spans="2:9" ht="15" customHeight="1" x14ac:dyDescent="0.2">
      <c r="B64" t="s">
        <v>222</v>
      </c>
      <c r="C64" s="12">
        <v>5</v>
      </c>
      <c r="D64" s="8">
        <v>1.55</v>
      </c>
      <c r="E64" s="12">
        <v>5</v>
      </c>
      <c r="F64" s="8">
        <v>2.59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232</v>
      </c>
      <c r="C65" s="12">
        <v>4</v>
      </c>
      <c r="D65" s="8">
        <v>1.24</v>
      </c>
      <c r="E65" s="12">
        <v>0</v>
      </c>
      <c r="F65" s="8">
        <v>0</v>
      </c>
      <c r="G65" s="12">
        <v>4</v>
      </c>
      <c r="H65" s="8">
        <v>3.15</v>
      </c>
      <c r="I65" s="12">
        <v>0</v>
      </c>
    </row>
    <row r="66" spans="2:9" ht="15" customHeight="1" x14ac:dyDescent="0.2">
      <c r="B66" t="s">
        <v>174</v>
      </c>
      <c r="C66" s="12">
        <v>4</v>
      </c>
      <c r="D66" s="8">
        <v>1.24</v>
      </c>
      <c r="E66" s="12">
        <v>1</v>
      </c>
      <c r="F66" s="8">
        <v>0.52</v>
      </c>
      <c r="G66" s="12">
        <v>3</v>
      </c>
      <c r="H66" s="8">
        <v>2.36</v>
      </c>
      <c r="I66" s="12">
        <v>0</v>
      </c>
    </row>
    <row r="67" spans="2:9" ht="15" customHeight="1" x14ac:dyDescent="0.2">
      <c r="B67" t="s">
        <v>267</v>
      </c>
      <c r="C67" s="12">
        <v>4</v>
      </c>
      <c r="D67" s="8">
        <v>1.24</v>
      </c>
      <c r="E67" s="12">
        <v>4</v>
      </c>
      <c r="F67" s="8">
        <v>2.0699999999999998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205</v>
      </c>
      <c r="C68" s="12">
        <v>4</v>
      </c>
      <c r="D68" s="8">
        <v>1.24</v>
      </c>
      <c r="E68" s="12">
        <v>2</v>
      </c>
      <c r="F68" s="8">
        <v>1.04</v>
      </c>
      <c r="G68" s="12">
        <v>2</v>
      </c>
      <c r="H68" s="8">
        <v>1.57</v>
      </c>
      <c r="I68" s="12">
        <v>0</v>
      </c>
    </row>
    <row r="69" spans="2:9" ht="15" customHeight="1" x14ac:dyDescent="0.2">
      <c r="B69" t="s">
        <v>182</v>
      </c>
      <c r="C69" s="12">
        <v>4</v>
      </c>
      <c r="D69" s="8">
        <v>1.24</v>
      </c>
      <c r="E69" s="12">
        <v>1</v>
      </c>
      <c r="F69" s="8">
        <v>0.52</v>
      </c>
      <c r="G69" s="12">
        <v>3</v>
      </c>
      <c r="H69" s="8">
        <v>2.36</v>
      </c>
      <c r="I69" s="12">
        <v>0</v>
      </c>
    </row>
    <row r="70" spans="2:9" ht="15" customHeight="1" x14ac:dyDescent="0.2">
      <c r="B70" t="s">
        <v>171</v>
      </c>
      <c r="C70" s="12">
        <v>4</v>
      </c>
      <c r="D70" s="8">
        <v>1.24</v>
      </c>
      <c r="E70" s="12">
        <v>4</v>
      </c>
      <c r="F70" s="8">
        <v>2.0699999999999998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172</v>
      </c>
      <c r="C71" s="12">
        <v>4</v>
      </c>
      <c r="D71" s="8">
        <v>1.24</v>
      </c>
      <c r="E71" s="12">
        <v>4</v>
      </c>
      <c r="F71" s="8">
        <v>2.0699999999999998</v>
      </c>
      <c r="G71" s="12">
        <v>0</v>
      </c>
      <c r="H71" s="8">
        <v>0</v>
      </c>
      <c r="I71" s="12">
        <v>0</v>
      </c>
    </row>
    <row r="73" spans="2:9" ht="15" customHeight="1" x14ac:dyDescent="0.2">
      <c r="B73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D2B36-EAF9-4954-BC46-F6EAD3AF2DC0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355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38</v>
      </c>
      <c r="D6" s="8">
        <v>38</v>
      </c>
      <c r="E6" s="12">
        <v>17</v>
      </c>
      <c r="F6" s="8">
        <v>29.82</v>
      </c>
      <c r="G6" s="12">
        <v>21</v>
      </c>
      <c r="H6" s="8">
        <v>53.85</v>
      </c>
      <c r="I6" s="12">
        <v>0</v>
      </c>
    </row>
    <row r="7" spans="2:9" ht="15" customHeight="1" x14ac:dyDescent="0.2">
      <c r="B7" t="s">
        <v>77</v>
      </c>
      <c r="C7" s="12">
        <v>3</v>
      </c>
      <c r="D7" s="8">
        <v>3</v>
      </c>
      <c r="E7" s="12">
        <v>1</v>
      </c>
      <c r="F7" s="8">
        <v>1.75</v>
      </c>
      <c r="G7" s="12">
        <v>2</v>
      </c>
      <c r="H7" s="8">
        <v>5.13</v>
      </c>
      <c r="I7" s="12">
        <v>0</v>
      </c>
    </row>
    <row r="8" spans="2:9" ht="15" customHeight="1" x14ac:dyDescent="0.2">
      <c r="B8" t="s">
        <v>78</v>
      </c>
      <c r="C8" s="12">
        <v>2</v>
      </c>
      <c r="D8" s="8">
        <v>2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80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81</v>
      </c>
      <c r="C11" s="12">
        <v>23</v>
      </c>
      <c r="D11" s="8">
        <v>23</v>
      </c>
      <c r="E11" s="12">
        <v>16</v>
      </c>
      <c r="F11" s="8">
        <v>28.07</v>
      </c>
      <c r="G11" s="12">
        <v>7</v>
      </c>
      <c r="H11" s="8">
        <v>17.95</v>
      </c>
      <c r="I11" s="12">
        <v>0</v>
      </c>
    </row>
    <row r="12" spans="2:9" ht="15" customHeight="1" x14ac:dyDescent="0.2">
      <c r="B12" t="s">
        <v>82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83</v>
      </c>
      <c r="C13" s="12">
        <v>2</v>
      </c>
      <c r="D13" s="8">
        <v>2</v>
      </c>
      <c r="E13" s="12">
        <v>0</v>
      </c>
      <c r="F13" s="8">
        <v>0</v>
      </c>
      <c r="G13" s="12">
        <v>2</v>
      </c>
      <c r="H13" s="8">
        <v>5.13</v>
      </c>
      <c r="I13" s="12">
        <v>0</v>
      </c>
    </row>
    <row r="14" spans="2:9" ht="15" customHeight="1" x14ac:dyDescent="0.2">
      <c r="B14" t="s">
        <v>84</v>
      </c>
      <c r="C14" s="12">
        <v>1</v>
      </c>
      <c r="D14" s="8">
        <v>1</v>
      </c>
      <c r="E14" s="12">
        <v>0</v>
      </c>
      <c r="F14" s="8">
        <v>0</v>
      </c>
      <c r="G14" s="12">
        <v>1</v>
      </c>
      <c r="H14" s="8">
        <v>2.56</v>
      </c>
      <c r="I14" s="12">
        <v>0</v>
      </c>
    </row>
    <row r="15" spans="2:9" ht="15" customHeight="1" x14ac:dyDescent="0.2">
      <c r="B15" t="s">
        <v>85</v>
      </c>
      <c r="C15" s="12">
        <v>6</v>
      </c>
      <c r="D15" s="8">
        <v>6</v>
      </c>
      <c r="E15" s="12">
        <v>5</v>
      </c>
      <c r="F15" s="8">
        <v>8.77</v>
      </c>
      <c r="G15" s="12">
        <v>1</v>
      </c>
      <c r="H15" s="8">
        <v>2.56</v>
      </c>
      <c r="I15" s="12">
        <v>0</v>
      </c>
    </row>
    <row r="16" spans="2:9" ht="15" customHeight="1" x14ac:dyDescent="0.2">
      <c r="B16" t="s">
        <v>86</v>
      </c>
      <c r="C16" s="12">
        <v>16</v>
      </c>
      <c r="D16" s="8">
        <v>16</v>
      </c>
      <c r="E16" s="12">
        <v>13</v>
      </c>
      <c r="F16" s="8">
        <v>22.81</v>
      </c>
      <c r="G16" s="12">
        <v>3</v>
      </c>
      <c r="H16" s="8">
        <v>7.69</v>
      </c>
      <c r="I16" s="12">
        <v>0</v>
      </c>
    </row>
    <row r="17" spans="2:9" ht="15" customHeight="1" x14ac:dyDescent="0.2">
      <c r="B17" t="s">
        <v>87</v>
      </c>
      <c r="C17" s="12">
        <v>1</v>
      </c>
      <c r="D17" s="8">
        <v>1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88</v>
      </c>
      <c r="C18" s="12">
        <v>4</v>
      </c>
      <c r="D18" s="8">
        <v>4</v>
      </c>
      <c r="E18" s="12">
        <v>1</v>
      </c>
      <c r="F18" s="8">
        <v>1.75</v>
      </c>
      <c r="G18" s="12">
        <v>2</v>
      </c>
      <c r="H18" s="8">
        <v>5.13</v>
      </c>
      <c r="I18" s="12">
        <v>0</v>
      </c>
    </row>
    <row r="19" spans="2:9" ht="15" customHeight="1" x14ac:dyDescent="0.2">
      <c r="B19" t="s">
        <v>89</v>
      </c>
      <c r="C19" s="12">
        <v>4</v>
      </c>
      <c r="D19" s="8">
        <v>4</v>
      </c>
      <c r="E19" s="12">
        <v>4</v>
      </c>
      <c r="F19" s="8">
        <v>7.02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285</v>
      </c>
      <c r="C20" s="12">
        <f>SUM(LTBL_40608[総数／事業所数])</f>
        <v>100</v>
      </c>
      <c r="E20" s="12">
        <f>SUBTOTAL(109,LTBL_40608[個人／事業所数])</f>
        <v>57</v>
      </c>
      <c r="G20" s="12">
        <f>SUBTOTAL(109,LTBL_40608[法人／事業所数])</f>
        <v>39</v>
      </c>
      <c r="I20" s="12">
        <f>SUBTOTAL(109,LTBL_40608[法人以外の団体／事業所数])</f>
        <v>0</v>
      </c>
    </row>
    <row r="21" spans="2:9" ht="15" customHeight="1" x14ac:dyDescent="0.2">
      <c r="E21" s="11">
        <f>LTBL_40608[[#Totals],[個人／事業所数]]/LTBL_40608[[#Totals],[総数／事業所数]]</f>
        <v>0.56999999999999995</v>
      </c>
      <c r="G21" s="11">
        <f>LTBL_40608[[#Totals],[法人／事業所数]]/LTBL_40608[[#Totals],[総数／事業所数]]</f>
        <v>0.39</v>
      </c>
      <c r="I21" s="11">
        <f>LTBL_40608[[#Totals],[法人以外の団体／事業所数]]/LTBL_40608[[#Totals],[総数／事業所数]]</f>
        <v>0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98</v>
      </c>
      <c r="C24" s="12">
        <v>31</v>
      </c>
      <c r="D24" s="8">
        <v>31</v>
      </c>
      <c r="E24" s="12">
        <v>15</v>
      </c>
      <c r="F24" s="8">
        <v>26.32</v>
      </c>
      <c r="G24" s="12">
        <v>16</v>
      </c>
      <c r="H24" s="8">
        <v>41.03</v>
      </c>
      <c r="I24" s="12">
        <v>0</v>
      </c>
    </row>
    <row r="25" spans="2:9" ht="15" customHeight="1" x14ac:dyDescent="0.2">
      <c r="B25" t="s">
        <v>113</v>
      </c>
      <c r="C25" s="12">
        <v>16</v>
      </c>
      <c r="D25" s="8">
        <v>16</v>
      </c>
      <c r="E25" s="12">
        <v>13</v>
      </c>
      <c r="F25" s="8">
        <v>22.81</v>
      </c>
      <c r="G25" s="12">
        <v>3</v>
      </c>
      <c r="H25" s="8">
        <v>7.69</v>
      </c>
      <c r="I25" s="12">
        <v>0</v>
      </c>
    </row>
    <row r="26" spans="2:9" ht="15" customHeight="1" x14ac:dyDescent="0.2">
      <c r="B26" t="s">
        <v>107</v>
      </c>
      <c r="C26" s="12">
        <v>13</v>
      </c>
      <c r="D26" s="8">
        <v>13</v>
      </c>
      <c r="E26" s="12">
        <v>9</v>
      </c>
      <c r="F26" s="8">
        <v>15.79</v>
      </c>
      <c r="G26" s="12">
        <v>4</v>
      </c>
      <c r="H26" s="8">
        <v>10.26</v>
      </c>
      <c r="I26" s="12">
        <v>0</v>
      </c>
    </row>
    <row r="27" spans="2:9" ht="15" customHeight="1" x14ac:dyDescent="0.2">
      <c r="B27" t="s">
        <v>105</v>
      </c>
      <c r="C27" s="12">
        <v>5</v>
      </c>
      <c r="D27" s="8">
        <v>5</v>
      </c>
      <c r="E27" s="12">
        <v>5</v>
      </c>
      <c r="F27" s="8">
        <v>8.77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112</v>
      </c>
      <c r="C28" s="12">
        <v>5</v>
      </c>
      <c r="D28" s="8">
        <v>5</v>
      </c>
      <c r="E28" s="12">
        <v>4</v>
      </c>
      <c r="F28" s="8">
        <v>7.02</v>
      </c>
      <c r="G28" s="12">
        <v>1</v>
      </c>
      <c r="H28" s="8">
        <v>2.56</v>
      </c>
      <c r="I28" s="12">
        <v>0</v>
      </c>
    </row>
    <row r="29" spans="2:9" ht="15" customHeight="1" x14ac:dyDescent="0.2">
      <c r="B29" t="s">
        <v>99</v>
      </c>
      <c r="C29" s="12">
        <v>4</v>
      </c>
      <c r="D29" s="8">
        <v>4</v>
      </c>
      <c r="E29" s="12">
        <v>1</v>
      </c>
      <c r="F29" s="8">
        <v>1.75</v>
      </c>
      <c r="G29" s="12">
        <v>3</v>
      </c>
      <c r="H29" s="8">
        <v>7.69</v>
      </c>
      <c r="I29" s="12">
        <v>0</v>
      </c>
    </row>
    <row r="30" spans="2:9" ht="15" customHeight="1" x14ac:dyDescent="0.2">
      <c r="B30" t="s">
        <v>106</v>
      </c>
      <c r="C30" s="12">
        <v>4</v>
      </c>
      <c r="D30" s="8">
        <v>4</v>
      </c>
      <c r="E30" s="12">
        <v>2</v>
      </c>
      <c r="F30" s="8">
        <v>3.51</v>
      </c>
      <c r="G30" s="12">
        <v>2</v>
      </c>
      <c r="H30" s="8">
        <v>5.13</v>
      </c>
      <c r="I30" s="12">
        <v>0</v>
      </c>
    </row>
    <row r="31" spans="2:9" ht="15" customHeight="1" x14ac:dyDescent="0.2">
      <c r="B31" t="s">
        <v>123</v>
      </c>
      <c r="C31" s="12">
        <v>4</v>
      </c>
      <c r="D31" s="8">
        <v>4</v>
      </c>
      <c r="E31" s="12">
        <v>4</v>
      </c>
      <c r="F31" s="8">
        <v>7.02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100</v>
      </c>
      <c r="C32" s="12">
        <v>3</v>
      </c>
      <c r="D32" s="8">
        <v>3</v>
      </c>
      <c r="E32" s="12">
        <v>1</v>
      </c>
      <c r="F32" s="8">
        <v>1.75</v>
      </c>
      <c r="G32" s="12">
        <v>2</v>
      </c>
      <c r="H32" s="8">
        <v>5.13</v>
      </c>
      <c r="I32" s="12">
        <v>0</v>
      </c>
    </row>
    <row r="33" spans="2:9" ht="15" customHeight="1" x14ac:dyDescent="0.2">
      <c r="B33" t="s">
        <v>116</v>
      </c>
      <c r="C33" s="12">
        <v>3</v>
      </c>
      <c r="D33" s="8">
        <v>3</v>
      </c>
      <c r="E33" s="12">
        <v>0</v>
      </c>
      <c r="F33" s="8">
        <v>0</v>
      </c>
      <c r="G33" s="12">
        <v>2</v>
      </c>
      <c r="H33" s="8">
        <v>5.13</v>
      </c>
      <c r="I33" s="12">
        <v>0</v>
      </c>
    </row>
    <row r="34" spans="2:9" ht="15" customHeight="1" x14ac:dyDescent="0.2">
      <c r="B34" t="s">
        <v>148</v>
      </c>
      <c r="C34" s="12">
        <v>2</v>
      </c>
      <c r="D34" s="8">
        <v>2</v>
      </c>
      <c r="E34" s="12">
        <v>0</v>
      </c>
      <c r="F34" s="8">
        <v>0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150</v>
      </c>
      <c r="C35" s="12">
        <v>1</v>
      </c>
      <c r="D35" s="8">
        <v>1</v>
      </c>
      <c r="E35" s="12">
        <v>0</v>
      </c>
      <c r="F35" s="8">
        <v>0</v>
      </c>
      <c r="G35" s="12">
        <v>1</v>
      </c>
      <c r="H35" s="8">
        <v>2.56</v>
      </c>
      <c r="I35" s="12">
        <v>0</v>
      </c>
    </row>
    <row r="36" spans="2:9" ht="15" customHeight="1" x14ac:dyDescent="0.2">
      <c r="B36" t="s">
        <v>119</v>
      </c>
      <c r="C36" s="12">
        <v>1</v>
      </c>
      <c r="D36" s="8">
        <v>1</v>
      </c>
      <c r="E36" s="12">
        <v>0</v>
      </c>
      <c r="F36" s="8">
        <v>0</v>
      </c>
      <c r="G36" s="12">
        <v>1</v>
      </c>
      <c r="H36" s="8">
        <v>2.56</v>
      </c>
      <c r="I36" s="12">
        <v>0</v>
      </c>
    </row>
    <row r="37" spans="2:9" ht="15" customHeight="1" x14ac:dyDescent="0.2">
      <c r="B37" t="s">
        <v>132</v>
      </c>
      <c r="C37" s="12">
        <v>1</v>
      </c>
      <c r="D37" s="8">
        <v>1</v>
      </c>
      <c r="E37" s="12">
        <v>1</v>
      </c>
      <c r="F37" s="8">
        <v>1.75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126</v>
      </c>
      <c r="C38" s="12">
        <v>1</v>
      </c>
      <c r="D38" s="8">
        <v>1</v>
      </c>
      <c r="E38" s="12">
        <v>0</v>
      </c>
      <c r="F38" s="8">
        <v>0</v>
      </c>
      <c r="G38" s="12">
        <v>1</v>
      </c>
      <c r="H38" s="8">
        <v>2.56</v>
      </c>
      <c r="I38" s="12">
        <v>0</v>
      </c>
    </row>
    <row r="39" spans="2:9" ht="15" customHeight="1" x14ac:dyDescent="0.2">
      <c r="B39" t="s">
        <v>108</v>
      </c>
      <c r="C39" s="12">
        <v>1</v>
      </c>
      <c r="D39" s="8">
        <v>1</v>
      </c>
      <c r="E39" s="12">
        <v>0</v>
      </c>
      <c r="F39" s="8">
        <v>0</v>
      </c>
      <c r="G39" s="12">
        <v>1</v>
      </c>
      <c r="H39" s="8">
        <v>2.56</v>
      </c>
      <c r="I39" s="12">
        <v>0</v>
      </c>
    </row>
    <row r="40" spans="2:9" ht="15" customHeight="1" x14ac:dyDescent="0.2">
      <c r="B40" t="s">
        <v>140</v>
      </c>
      <c r="C40" s="12">
        <v>1</v>
      </c>
      <c r="D40" s="8">
        <v>1</v>
      </c>
      <c r="E40" s="12">
        <v>0</v>
      </c>
      <c r="F40" s="8">
        <v>0</v>
      </c>
      <c r="G40" s="12">
        <v>1</v>
      </c>
      <c r="H40" s="8">
        <v>2.56</v>
      </c>
      <c r="I40" s="12">
        <v>0</v>
      </c>
    </row>
    <row r="41" spans="2:9" ht="15" customHeight="1" x14ac:dyDescent="0.2">
      <c r="B41" t="s">
        <v>110</v>
      </c>
      <c r="C41" s="12">
        <v>1</v>
      </c>
      <c r="D41" s="8">
        <v>1</v>
      </c>
      <c r="E41" s="12">
        <v>0</v>
      </c>
      <c r="F41" s="8">
        <v>0</v>
      </c>
      <c r="G41" s="12">
        <v>1</v>
      </c>
      <c r="H41" s="8">
        <v>2.56</v>
      </c>
      <c r="I41" s="12">
        <v>0</v>
      </c>
    </row>
    <row r="42" spans="2:9" ht="15" customHeight="1" x14ac:dyDescent="0.2">
      <c r="B42" t="s">
        <v>121</v>
      </c>
      <c r="C42" s="12">
        <v>1</v>
      </c>
      <c r="D42" s="8">
        <v>1</v>
      </c>
      <c r="E42" s="12">
        <v>1</v>
      </c>
      <c r="F42" s="8">
        <v>1.75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114</v>
      </c>
      <c r="C43" s="12">
        <v>1</v>
      </c>
      <c r="D43" s="8">
        <v>1</v>
      </c>
      <c r="E43" s="12">
        <v>0</v>
      </c>
      <c r="F43" s="8">
        <v>0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115</v>
      </c>
      <c r="C44" s="12">
        <v>1</v>
      </c>
      <c r="D44" s="8">
        <v>1</v>
      </c>
      <c r="E44" s="12">
        <v>1</v>
      </c>
      <c r="F44" s="8">
        <v>1.75</v>
      </c>
      <c r="G44" s="12">
        <v>0</v>
      </c>
      <c r="H44" s="8">
        <v>0</v>
      </c>
      <c r="I44" s="12">
        <v>0</v>
      </c>
    </row>
    <row r="47" spans="2:9" ht="33" customHeight="1" x14ac:dyDescent="0.2">
      <c r="B47" t="s">
        <v>287</v>
      </c>
      <c r="C47" s="10" t="s">
        <v>91</v>
      </c>
      <c r="D47" s="10" t="s">
        <v>92</v>
      </c>
      <c r="E47" s="10" t="s">
        <v>93</v>
      </c>
      <c r="F47" s="10" t="s">
        <v>94</v>
      </c>
      <c r="G47" s="10" t="s">
        <v>95</v>
      </c>
      <c r="H47" s="10" t="s">
        <v>96</v>
      </c>
      <c r="I47" s="10" t="s">
        <v>97</v>
      </c>
    </row>
    <row r="48" spans="2:9" ht="15" customHeight="1" x14ac:dyDescent="0.2">
      <c r="B48" t="s">
        <v>154</v>
      </c>
      <c r="C48" s="12">
        <v>18</v>
      </c>
      <c r="D48" s="8">
        <v>18</v>
      </c>
      <c r="E48" s="12">
        <v>7</v>
      </c>
      <c r="F48" s="8">
        <v>12.28</v>
      </c>
      <c r="G48" s="12">
        <v>11</v>
      </c>
      <c r="H48" s="8">
        <v>28.21</v>
      </c>
      <c r="I48" s="12">
        <v>0</v>
      </c>
    </row>
    <row r="49" spans="2:9" ht="15" customHeight="1" x14ac:dyDescent="0.2">
      <c r="B49" t="s">
        <v>170</v>
      </c>
      <c r="C49" s="12">
        <v>7</v>
      </c>
      <c r="D49" s="8">
        <v>7</v>
      </c>
      <c r="E49" s="12">
        <v>5</v>
      </c>
      <c r="F49" s="8">
        <v>8.77</v>
      </c>
      <c r="G49" s="12">
        <v>2</v>
      </c>
      <c r="H49" s="8">
        <v>5.13</v>
      </c>
      <c r="I49" s="12">
        <v>0</v>
      </c>
    </row>
    <row r="50" spans="2:9" ht="15" customHeight="1" x14ac:dyDescent="0.2">
      <c r="B50" t="s">
        <v>186</v>
      </c>
      <c r="C50" s="12">
        <v>5</v>
      </c>
      <c r="D50" s="8">
        <v>5</v>
      </c>
      <c r="E50" s="12">
        <v>3</v>
      </c>
      <c r="F50" s="8">
        <v>5.26</v>
      </c>
      <c r="G50" s="12">
        <v>2</v>
      </c>
      <c r="H50" s="8">
        <v>5.13</v>
      </c>
      <c r="I50" s="12">
        <v>0</v>
      </c>
    </row>
    <row r="51" spans="2:9" ht="15" customHeight="1" x14ac:dyDescent="0.2">
      <c r="B51" t="s">
        <v>161</v>
      </c>
      <c r="C51" s="12">
        <v>5</v>
      </c>
      <c r="D51" s="8">
        <v>5</v>
      </c>
      <c r="E51" s="12">
        <v>5</v>
      </c>
      <c r="F51" s="8">
        <v>8.77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169</v>
      </c>
      <c r="C52" s="12">
        <v>5</v>
      </c>
      <c r="D52" s="8">
        <v>5</v>
      </c>
      <c r="E52" s="12">
        <v>5</v>
      </c>
      <c r="F52" s="8">
        <v>8.77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232</v>
      </c>
      <c r="C53" s="12">
        <v>4</v>
      </c>
      <c r="D53" s="8">
        <v>4</v>
      </c>
      <c r="E53" s="12">
        <v>3</v>
      </c>
      <c r="F53" s="8">
        <v>5.26</v>
      </c>
      <c r="G53" s="12">
        <v>1</v>
      </c>
      <c r="H53" s="8">
        <v>2.56</v>
      </c>
      <c r="I53" s="12">
        <v>0</v>
      </c>
    </row>
    <row r="54" spans="2:9" ht="15" customHeight="1" x14ac:dyDescent="0.2">
      <c r="B54" t="s">
        <v>159</v>
      </c>
      <c r="C54" s="12">
        <v>4</v>
      </c>
      <c r="D54" s="8">
        <v>4</v>
      </c>
      <c r="E54" s="12">
        <v>2</v>
      </c>
      <c r="F54" s="8">
        <v>3.51</v>
      </c>
      <c r="G54" s="12">
        <v>2</v>
      </c>
      <c r="H54" s="8">
        <v>5.13</v>
      </c>
      <c r="I54" s="12">
        <v>0</v>
      </c>
    </row>
    <row r="55" spans="2:9" ht="15" customHeight="1" x14ac:dyDescent="0.2">
      <c r="B55" t="s">
        <v>182</v>
      </c>
      <c r="C55" s="12">
        <v>4</v>
      </c>
      <c r="D55" s="8">
        <v>4</v>
      </c>
      <c r="E55" s="12">
        <v>3</v>
      </c>
      <c r="F55" s="8">
        <v>5.26</v>
      </c>
      <c r="G55" s="12">
        <v>1</v>
      </c>
      <c r="H55" s="8">
        <v>2.56</v>
      </c>
      <c r="I55" s="12">
        <v>0</v>
      </c>
    </row>
    <row r="56" spans="2:9" ht="15" customHeight="1" x14ac:dyDescent="0.2">
      <c r="B56" t="s">
        <v>173</v>
      </c>
      <c r="C56" s="12">
        <v>4</v>
      </c>
      <c r="D56" s="8">
        <v>4</v>
      </c>
      <c r="E56" s="12">
        <v>4</v>
      </c>
      <c r="F56" s="8">
        <v>7.02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202</v>
      </c>
      <c r="C57" s="12">
        <v>3</v>
      </c>
      <c r="D57" s="8">
        <v>3</v>
      </c>
      <c r="E57" s="12">
        <v>1</v>
      </c>
      <c r="F57" s="8">
        <v>1.75</v>
      </c>
      <c r="G57" s="12">
        <v>2</v>
      </c>
      <c r="H57" s="8">
        <v>5.13</v>
      </c>
      <c r="I57" s="12">
        <v>0</v>
      </c>
    </row>
    <row r="58" spans="2:9" ht="15" customHeight="1" x14ac:dyDescent="0.2">
      <c r="B58" t="s">
        <v>160</v>
      </c>
      <c r="C58" s="12">
        <v>3</v>
      </c>
      <c r="D58" s="8">
        <v>3</v>
      </c>
      <c r="E58" s="12">
        <v>2</v>
      </c>
      <c r="F58" s="8">
        <v>3.51</v>
      </c>
      <c r="G58" s="12">
        <v>1</v>
      </c>
      <c r="H58" s="8">
        <v>2.56</v>
      </c>
      <c r="I58" s="12">
        <v>0</v>
      </c>
    </row>
    <row r="59" spans="2:9" ht="15" customHeight="1" x14ac:dyDescent="0.2">
      <c r="B59" t="s">
        <v>155</v>
      </c>
      <c r="C59" s="12">
        <v>2</v>
      </c>
      <c r="D59" s="8">
        <v>2</v>
      </c>
      <c r="E59" s="12">
        <v>2</v>
      </c>
      <c r="F59" s="8">
        <v>3.51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174</v>
      </c>
      <c r="C60" s="12">
        <v>2</v>
      </c>
      <c r="D60" s="8">
        <v>2</v>
      </c>
      <c r="E60" s="12">
        <v>1</v>
      </c>
      <c r="F60" s="8">
        <v>1.75</v>
      </c>
      <c r="G60" s="12">
        <v>1</v>
      </c>
      <c r="H60" s="8">
        <v>2.56</v>
      </c>
      <c r="I60" s="12">
        <v>0</v>
      </c>
    </row>
    <row r="61" spans="2:9" ht="15" customHeight="1" x14ac:dyDescent="0.2">
      <c r="B61" t="s">
        <v>269</v>
      </c>
      <c r="C61" s="12">
        <v>2</v>
      </c>
      <c r="D61" s="8">
        <v>2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181</v>
      </c>
      <c r="C62" s="12">
        <v>2</v>
      </c>
      <c r="D62" s="8">
        <v>2</v>
      </c>
      <c r="E62" s="12">
        <v>2</v>
      </c>
      <c r="F62" s="8">
        <v>3.51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158</v>
      </c>
      <c r="C63" s="12">
        <v>2</v>
      </c>
      <c r="D63" s="8">
        <v>2</v>
      </c>
      <c r="E63" s="12">
        <v>2</v>
      </c>
      <c r="F63" s="8">
        <v>3.51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259</v>
      </c>
      <c r="C64" s="12">
        <v>2</v>
      </c>
      <c r="D64" s="8">
        <v>2</v>
      </c>
      <c r="E64" s="12">
        <v>2</v>
      </c>
      <c r="F64" s="8">
        <v>3.51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270</v>
      </c>
      <c r="C65" s="12">
        <v>2</v>
      </c>
      <c r="D65" s="8">
        <v>2</v>
      </c>
      <c r="E65" s="12">
        <v>0</v>
      </c>
      <c r="F65" s="8">
        <v>0</v>
      </c>
      <c r="G65" s="12">
        <v>2</v>
      </c>
      <c r="H65" s="8">
        <v>5.13</v>
      </c>
      <c r="I65" s="12">
        <v>0</v>
      </c>
    </row>
    <row r="66" spans="2:9" ht="15" customHeight="1" x14ac:dyDescent="0.2">
      <c r="B66" t="s">
        <v>245</v>
      </c>
      <c r="C66" s="12">
        <v>2</v>
      </c>
      <c r="D66" s="8">
        <v>2</v>
      </c>
      <c r="E66" s="12">
        <v>1</v>
      </c>
      <c r="F66" s="8">
        <v>1.75</v>
      </c>
      <c r="G66" s="12">
        <v>1</v>
      </c>
      <c r="H66" s="8">
        <v>2.56</v>
      </c>
      <c r="I66" s="12">
        <v>0</v>
      </c>
    </row>
    <row r="67" spans="2:9" ht="15" customHeight="1" x14ac:dyDescent="0.2">
      <c r="B67" t="s">
        <v>204</v>
      </c>
      <c r="C67" s="12">
        <v>2</v>
      </c>
      <c r="D67" s="8">
        <v>2</v>
      </c>
      <c r="E67" s="12">
        <v>0</v>
      </c>
      <c r="F67" s="8">
        <v>0</v>
      </c>
      <c r="G67" s="12">
        <v>2</v>
      </c>
      <c r="H67" s="8">
        <v>5.13</v>
      </c>
      <c r="I67" s="12">
        <v>0</v>
      </c>
    </row>
    <row r="69" spans="2:9" ht="15" customHeight="1" x14ac:dyDescent="0.2">
      <c r="B69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64310-518A-4603-8F5C-E0B99345648B}">
  <sheetPr>
    <pageSetUpPr fitToPage="1"/>
  </sheetPr>
  <dimension ref="B2:I9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356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22</v>
      </c>
      <c r="D6" s="8">
        <v>29.73</v>
      </c>
      <c r="E6" s="12">
        <v>16</v>
      </c>
      <c r="F6" s="8">
        <v>30.77</v>
      </c>
      <c r="G6" s="12">
        <v>6</v>
      </c>
      <c r="H6" s="8">
        <v>30</v>
      </c>
      <c r="I6" s="12">
        <v>0</v>
      </c>
    </row>
    <row r="7" spans="2:9" ht="15" customHeight="1" x14ac:dyDescent="0.2">
      <c r="B7" t="s">
        <v>77</v>
      </c>
      <c r="C7" s="12">
        <v>6</v>
      </c>
      <c r="D7" s="8">
        <v>8.11</v>
      </c>
      <c r="E7" s="12">
        <v>3</v>
      </c>
      <c r="F7" s="8">
        <v>5.77</v>
      </c>
      <c r="G7" s="12">
        <v>3</v>
      </c>
      <c r="H7" s="8">
        <v>15</v>
      </c>
      <c r="I7" s="12">
        <v>0</v>
      </c>
    </row>
    <row r="8" spans="2:9" ht="15" customHeight="1" x14ac:dyDescent="0.2">
      <c r="B8" t="s">
        <v>78</v>
      </c>
      <c r="C8" s="12">
        <v>1</v>
      </c>
      <c r="D8" s="8">
        <v>1.35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80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81</v>
      </c>
      <c r="C11" s="12">
        <v>21</v>
      </c>
      <c r="D11" s="8">
        <v>28.38</v>
      </c>
      <c r="E11" s="12">
        <v>16</v>
      </c>
      <c r="F11" s="8">
        <v>30.77</v>
      </c>
      <c r="G11" s="12">
        <v>5</v>
      </c>
      <c r="H11" s="8">
        <v>25</v>
      </c>
      <c r="I11" s="12">
        <v>0</v>
      </c>
    </row>
    <row r="12" spans="2:9" ht="15" customHeight="1" x14ac:dyDescent="0.2">
      <c r="B12" t="s">
        <v>82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83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84</v>
      </c>
      <c r="C14" s="12">
        <v>1</v>
      </c>
      <c r="D14" s="8">
        <v>1.35</v>
      </c>
      <c r="E14" s="12">
        <v>1</v>
      </c>
      <c r="F14" s="8">
        <v>1.92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85</v>
      </c>
      <c r="C15" s="12">
        <v>9</v>
      </c>
      <c r="D15" s="8">
        <v>12.16</v>
      </c>
      <c r="E15" s="12">
        <v>8</v>
      </c>
      <c r="F15" s="8">
        <v>15.38</v>
      </c>
      <c r="G15" s="12">
        <v>1</v>
      </c>
      <c r="H15" s="8">
        <v>5</v>
      </c>
      <c r="I15" s="12">
        <v>0</v>
      </c>
    </row>
    <row r="16" spans="2:9" ht="15" customHeight="1" x14ac:dyDescent="0.2">
      <c r="B16" t="s">
        <v>86</v>
      </c>
      <c r="C16" s="12">
        <v>5</v>
      </c>
      <c r="D16" s="8">
        <v>6.76</v>
      </c>
      <c r="E16" s="12">
        <v>5</v>
      </c>
      <c r="F16" s="8">
        <v>9.6199999999999992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87</v>
      </c>
      <c r="C17" s="12">
        <v>1</v>
      </c>
      <c r="D17" s="8">
        <v>1.35</v>
      </c>
      <c r="E17" s="12">
        <v>1</v>
      </c>
      <c r="F17" s="8">
        <v>1.92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88</v>
      </c>
      <c r="C18" s="12">
        <v>7</v>
      </c>
      <c r="D18" s="8">
        <v>9.4600000000000009</v>
      </c>
      <c r="E18" s="12">
        <v>1</v>
      </c>
      <c r="F18" s="8">
        <v>1.92</v>
      </c>
      <c r="G18" s="12">
        <v>5</v>
      </c>
      <c r="H18" s="8">
        <v>25</v>
      </c>
      <c r="I18" s="12">
        <v>0</v>
      </c>
    </row>
    <row r="19" spans="2:9" ht="15" customHeight="1" x14ac:dyDescent="0.2">
      <c r="B19" t="s">
        <v>89</v>
      </c>
      <c r="C19" s="12">
        <v>1</v>
      </c>
      <c r="D19" s="8">
        <v>1.35</v>
      </c>
      <c r="E19" s="12">
        <v>1</v>
      </c>
      <c r="F19" s="8">
        <v>1.92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285</v>
      </c>
      <c r="C20" s="12">
        <f>SUM(LTBL_40609[総数／事業所数])</f>
        <v>74</v>
      </c>
      <c r="E20" s="12">
        <f>SUBTOTAL(109,LTBL_40609[個人／事業所数])</f>
        <v>52</v>
      </c>
      <c r="G20" s="12">
        <f>SUBTOTAL(109,LTBL_40609[法人／事業所数])</f>
        <v>20</v>
      </c>
      <c r="I20" s="12">
        <f>SUBTOTAL(109,LTBL_40609[法人以外の団体／事業所数])</f>
        <v>0</v>
      </c>
    </row>
    <row r="21" spans="2:9" ht="15" customHeight="1" x14ac:dyDescent="0.2">
      <c r="E21" s="11">
        <f>LTBL_40609[[#Totals],[個人／事業所数]]/LTBL_40609[[#Totals],[総数／事業所数]]</f>
        <v>0.70270270270270274</v>
      </c>
      <c r="G21" s="11">
        <f>LTBL_40609[[#Totals],[法人／事業所数]]/LTBL_40609[[#Totals],[総数／事業所数]]</f>
        <v>0.27027027027027029</v>
      </c>
      <c r="I21" s="11">
        <f>LTBL_40609[[#Totals],[法人以外の団体／事業所数]]/LTBL_40609[[#Totals],[総数／事業所数]]</f>
        <v>0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98</v>
      </c>
      <c r="C24" s="12">
        <v>16</v>
      </c>
      <c r="D24" s="8">
        <v>21.62</v>
      </c>
      <c r="E24" s="12">
        <v>10</v>
      </c>
      <c r="F24" s="8">
        <v>19.23</v>
      </c>
      <c r="G24" s="12">
        <v>6</v>
      </c>
      <c r="H24" s="8">
        <v>30</v>
      </c>
      <c r="I24" s="12">
        <v>0</v>
      </c>
    </row>
    <row r="25" spans="2:9" ht="15" customHeight="1" x14ac:dyDescent="0.2">
      <c r="B25" t="s">
        <v>105</v>
      </c>
      <c r="C25" s="12">
        <v>11</v>
      </c>
      <c r="D25" s="8">
        <v>14.86</v>
      </c>
      <c r="E25" s="12">
        <v>10</v>
      </c>
      <c r="F25" s="8">
        <v>19.23</v>
      </c>
      <c r="G25" s="12">
        <v>1</v>
      </c>
      <c r="H25" s="8">
        <v>5</v>
      </c>
      <c r="I25" s="12">
        <v>0</v>
      </c>
    </row>
    <row r="26" spans="2:9" ht="15" customHeight="1" x14ac:dyDescent="0.2">
      <c r="B26" t="s">
        <v>112</v>
      </c>
      <c r="C26" s="12">
        <v>7</v>
      </c>
      <c r="D26" s="8">
        <v>9.4600000000000009</v>
      </c>
      <c r="E26" s="12">
        <v>6</v>
      </c>
      <c r="F26" s="8">
        <v>11.54</v>
      </c>
      <c r="G26" s="12">
        <v>1</v>
      </c>
      <c r="H26" s="8">
        <v>5</v>
      </c>
      <c r="I26" s="12">
        <v>0</v>
      </c>
    </row>
    <row r="27" spans="2:9" ht="15" customHeight="1" x14ac:dyDescent="0.2">
      <c r="B27" t="s">
        <v>116</v>
      </c>
      <c r="C27" s="12">
        <v>6</v>
      </c>
      <c r="D27" s="8">
        <v>8.11</v>
      </c>
      <c r="E27" s="12">
        <v>0</v>
      </c>
      <c r="F27" s="8">
        <v>0</v>
      </c>
      <c r="G27" s="12">
        <v>5</v>
      </c>
      <c r="H27" s="8">
        <v>25</v>
      </c>
      <c r="I27" s="12">
        <v>0</v>
      </c>
    </row>
    <row r="28" spans="2:9" ht="15" customHeight="1" x14ac:dyDescent="0.2">
      <c r="B28" t="s">
        <v>100</v>
      </c>
      <c r="C28" s="12">
        <v>5</v>
      </c>
      <c r="D28" s="8">
        <v>6.76</v>
      </c>
      <c r="E28" s="12">
        <v>5</v>
      </c>
      <c r="F28" s="8">
        <v>9.6199999999999992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107</v>
      </c>
      <c r="C29" s="12">
        <v>5</v>
      </c>
      <c r="D29" s="8">
        <v>6.76</v>
      </c>
      <c r="E29" s="12">
        <v>3</v>
      </c>
      <c r="F29" s="8">
        <v>5.77</v>
      </c>
      <c r="G29" s="12">
        <v>2</v>
      </c>
      <c r="H29" s="8">
        <v>10</v>
      </c>
      <c r="I29" s="12">
        <v>0</v>
      </c>
    </row>
    <row r="30" spans="2:9" ht="15" customHeight="1" x14ac:dyDescent="0.2">
      <c r="B30" t="s">
        <v>106</v>
      </c>
      <c r="C30" s="12">
        <v>3</v>
      </c>
      <c r="D30" s="8">
        <v>4.05</v>
      </c>
      <c r="E30" s="12">
        <v>3</v>
      </c>
      <c r="F30" s="8">
        <v>5.77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113</v>
      </c>
      <c r="C31" s="12">
        <v>3</v>
      </c>
      <c r="D31" s="8">
        <v>4.05</v>
      </c>
      <c r="E31" s="12">
        <v>3</v>
      </c>
      <c r="F31" s="8">
        <v>5.77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119</v>
      </c>
      <c r="C32" s="12">
        <v>2</v>
      </c>
      <c r="D32" s="8">
        <v>2.7</v>
      </c>
      <c r="E32" s="12">
        <v>2</v>
      </c>
      <c r="F32" s="8">
        <v>3.85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124</v>
      </c>
      <c r="C33" s="12">
        <v>2</v>
      </c>
      <c r="D33" s="8">
        <v>2.7</v>
      </c>
      <c r="E33" s="12">
        <v>0</v>
      </c>
      <c r="F33" s="8">
        <v>0</v>
      </c>
      <c r="G33" s="12">
        <v>2</v>
      </c>
      <c r="H33" s="8">
        <v>10</v>
      </c>
      <c r="I33" s="12">
        <v>0</v>
      </c>
    </row>
    <row r="34" spans="2:9" ht="15" customHeight="1" x14ac:dyDescent="0.2">
      <c r="B34" t="s">
        <v>99</v>
      </c>
      <c r="C34" s="12">
        <v>1</v>
      </c>
      <c r="D34" s="8">
        <v>1.35</v>
      </c>
      <c r="E34" s="12">
        <v>1</v>
      </c>
      <c r="F34" s="8">
        <v>1.92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130</v>
      </c>
      <c r="C35" s="12">
        <v>1</v>
      </c>
      <c r="D35" s="8">
        <v>1.35</v>
      </c>
      <c r="E35" s="12">
        <v>1</v>
      </c>
      <c r="F35" s="8">
        <v>1.92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135</v>
      </c>
      <c r="C36" s="12">
        <v>1</v>
      </c>
      <c r="D36" s="8">
        <v>1.35</v>
      </c>
      <c r="E36" s="12">
        <v>0</v>
      </c>
      <c r="F36" s="8">
        <v>0</v>
      </c>
      <c r="G36" s="12">
        <v>1</v>
      </c>
      <c r="H36" s="8">
        <v>5</v>
      </c>
      <c r="I36" s="12">
        <v>0</v>
      </c>
    </row>
    <row r="37" spans="2:9" ht="15" customHeight="1" x14ac:dyDescent="0.2">
      <c r="B37" t="s">
        <v>142</v>
      </c>
      <c r="C37" s="12">
        <v>1</v>
      </c>
      <c r="D37" s="8">
        <v>1.35</v>
      </c>
      <c r="E37" s="12">
        <v>0</v>
      </c>
      <c r="F37" s="8">
        <v>0</v>
      </c>
      <c r="G37" s="12">
        <v>1</v>
      </c>
      <c r="H37" s="8">
        <v>5</v>
      </c>
      <c r="I37" s="12">
        <v>0</v>
      </c>
    </row>
    <row r="38" spans="2:9" ht="15" customHeight="1" x14ac:dyDescent="0.2">
      <c r="B38" t="s">
        <v>136</v>
      </c>
      <c r="C38" s="12">
        <v>1</v>
      </c>
      <c r="D38" s="8">
        <v>1.35</v>
      </c>
      <c r="E38" s="12">
        <v>0</v>
      </c>
      <c r="F38" s="8">
        <v>0</v>
      </c>
      <c r="G38" s="12">
        <v>1</v>
      </c>
      <c r="H38" s="8">
        <v>5</v>
      </c>
      <c r="I38" s="12">
        <v>0</v>
      </c>
    </row>
    <row r="39" spans="2:9" ht="15" customHeight="1" x14ac:dyDescent="0.2">
      <c r="B39" t="s">
        <v>148</v>
      </c>
      <c r="C39" s="12">
        <v>1</v>
      </c>
      <c r="D39" s="8">
        <v>1.35</v>
      </c>
      <c r="E39" s="12">
        <v>0</v>
      </c>
      <c r="F39" s="8">
        <v>0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111</v>
      </c>
      <c r="C40" s="12">
        <v>1</v>
      </c>
      <c r="D40" s="8">
        <v>1.35</v>
      </c>
      <c r="E40" s="12">
        <v>1</v>
      </c>
      <c r="F40" s="8">
        <v>1.92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151</v>
      </c>
      <c r="C41" s="12">
        <v>1</v>
      </c>
      <c r="D41" s="8">
        <v>1.35</v>
      </c>
      <c r="E41" s="12">
        <v>1</v>
      </c>
      <c r="F41" s="8">
        <v>1.92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121</v>
      </c>
      <c r="C42" s="12">
        <v>1</v>
      </c>
      <c r="D42" s="8">
        <v>1.35</v>
      </c>
      <c r="E42" s="12">
        <v>1</v>
      </c>
      <c r="F42" s="8">
        <v>1.92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118</v>
      </c>
      <c r="C43" s="12">
        <v>1</v>
      </c>
      <c r="D43" s="8">
        <v>1.35</v>
      </c>
      <c r="E43" s="12">
        <v>1</v>
      </c>
      <c r="F43" s="8">
        <v>1.92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127</v>
      </c>
      <c r="C44" s="12">
        <v>1</v>
      </c>
      <c r="D44" s="8">
        <v>1.35</v>
      </c>
      <c r="E44" s="12">
        <v>1</v>
      </c>
      <c r="F44" s="8">
        <v>1.92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114</v>
      </c>
      <c r="C45" s="12">
        <v>1</v>
      </c>
      <c r="D45" s="8">
        <v>1.35</v>
      </c>
      <c r="E45" s="12">
        <v>1</v>
      </c>
      <c r="F45" s="8">
        <v>1.92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115</v>
      </c>
      <c r="C46" s="12">
        <v>1</v>
      </c>
      <c r="D46" s="8">
        <v>1.35</v>
      </c>
      <c r="E46" s="12">
        <v>1</v>
      </c>
      <c r="F46" s="8">
        <v>1.92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147</v>
      </c>
      <c r="C47" s="12">
        <v>1</v>
      </c>
      <c r="D47" s="8">
        <v>1.35</v>
      </c>
      <c r="E47" s="12">
        <v>1</v>
      </c>
      <c r="F47" s="8">
        <v>1.92</v>
      </c>
      <c r="G47" s="12">
        <v>0</v>
      </c>
      <c r="H47" s="8">
        <v>0</v>
      </c>
      <c r="I47" s="12">
        <v>0</v>
      </c>
    </row>
    <row r="50" spans="2:9" ht="33" customHeight="1" x14ac:dyDescent="0.2">
      <c r="B50" t="s">
        <v>287</v>
      </c>
      <c r="C50" s="10" t="s">
        <v>91</v>
      </c>
      <c r="D50" s="10" t="s">
        <v>92</v>
      </c>
      <c r="E50" s="10" t="s">
        <v>93</v>
      </c>
      <c r="F50" s="10" t="s">
        <v>94</v>
      </c>
      <c r="G50" s="10" t="s">
        <v>95</v>
      </c>
      <c r="H50" s="10" t="s">
        <v>96</v>
      </c>
      <c r="I50" s="10" t="s">
        <v>97</v>
      </c>
    </row>
    <row r="51" spans="2:9" ht="15" customHeight="1" x14ac:dyDescent="0.2">
      <c r="B51" t="s">
        <v>154</v>
      </c>
      <c r="C51" s="12">
        <v>12</v>
      </c>
      <c r="D51" s="8">
        <v>16.22</v>
      </c>
      <c r="E51" s="12">
        <v>8</v>
      </c>
      <c r="F51" s="8">
        <v>15.38</v>
      </c>
      <c r="G51" s="12">
        <v>4</v>
      </c>
      <c r="H51" s="8">
        <v>20</v>
      </c>
      <c r="I51" s="12">
        <v>0</v>
      </c>
    </row>
    <row r="52" spans="2:9" ht="15" customHeight="1" x14ac:dyDescent="0.2">
      <c r="B52" t="s">
        <v>158</v>
      </c>
      <c r="C52" s="12">
        <v>7</v>
      </c>
      <c r="D52" s="8">
        <v>9.4600000000000009</v>
      </c>
      <c r="E52" s="12">
        <v>7</v>
      </c>
      <c r="F52" s="8">
        <v>13.46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174</v>
      </c>
      <c r="C53" s="12">
        <v>4</v>
      </c>
      <c r="D53" s="8">
        <v>5.41</v>
      </c>
      <c r="E53" s="12">
        <v>4</v>
      </c>
      <c r="F53" s="8">
        <v>7.69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159</v>
      </c>
      <c r="C54" s="12">
        <v>3</v>
      </c>
      <c r="D54" s="8">
        <v>4.05</v>
      </c>
      <c r="E54" s="12">
        <v>3</v>
      </c>
      <c r="F54" s="8">
        <v>5.77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204</v>
      </c>
      <c r="C55" s="12">
        <v>3</v>
      </c>
      <c r="D55" s="8">
        <v>4.05</v>
      </c>
      <c r="E55" s="12">
        <v>0</v>
      </c>
      <c r="F55" s="8">
        <v>0</v>
      </c>
      <c r="G55" s="12">
        <v>3</v>
      </c>
      <c r="H55" s="8">
        <v>15</v>
      </c>
      <c r="I55" s="12">
        <v>0</v>
      </c>
    </row>
    <row r="56" spans="2:9" ht="15" customHeight="1" x14ac:dyDescent="0.2">
      <c r="B56" t="s">
        <v>232</v>
      </c>
      <c r="C56" s="12">
        <v>2</v>
      </c>
      <c r="D56" s="8">
        <v>2.7</v>
      </c>
      <c r="E56" s="12">
        <v>1</v>
      </c>
      <c r="F56" s="8">
        <v>1.92</v>
      </c>
      <c r="G56" s="12">
        <v>1</v>
      </c>
      <c r="H56" s="8">
        <v>5</v>
      </c>
      <c r="I56" s="12">
        <v>0</v>
      </c>
    </row>
    <row r="57" spans="2:9" ht="15" customHeight="1" x14ac:dyDescent="0.2">
      <c r="B57" t="s">
        <v>180</v>
      </c>
      <c r="C57" s="12">
        <v>2</v>
      </c>
      <c r="D57" s="8">
        <v>2.7</v>
      </c>
      <c r="E57" s="12">
        <v>2</v>
      </c>
      <c r="F57" s="8">
        <v>3.85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251</v>
      </c>
      <c r="C58" s="12">
        <v>2</v>
      </c>
      <c r="D58" s="8">
        <v>2.7</v>
      </c>
      <c r="E58" s="12">
        <v>0</v>
      </c>
      <c r="F58" s="8">
        <v>0</v>
      </c>
      <c r="G58" s="12">
        <v>2</v>
      </c>
      <c r="H58" s="8">
        <v>10</v>
      </c>
      <c r="I58" s="12">
        <v>0</v>
      </c>
    </row>
    <row r="59" spans="2:9" ht="15" customHeight="1" x14ac:dyDescent="0.2">
      <c r="B59" t="s">
        <v>161</v>
      </c>
      <c r="C59" s="12">
        <v>2</v>
      </c>
      <c r="D59" s="8">
        <v>2.7</v>
      </c>
      <c r="E59" s="12">
        <v>2</v>
      </c>
      <c r="F59" s="8">
        <v>3.85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167</v>
      </c>
      <c r="C60" s="12">
        <v>2</v>
      </c>
      <c r="D60" s="8">
        <v>2.7</v>
      </c>
      <c r="E60" s="12">
        <v>2</v>
      </c>
      <c r="F60" s="8">
        <v>3.85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179</v>
      </c>
      <c r="C61" s="12">
        <v>2</v>
      </c>
      <c r="D61" s="8">
        <v>2.7</v>
      </c>
      <c r="E61" s="12">
        <v>2</v>
      </c>
      <c r="F61" s="8">
        <v>3.85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276</v>
      </c>
      <c r="C62" s="12">
        <v>2</v>
      </c>
      <c r="D62" s="8">
        <v>2.7</v>
      </c>
      <c r="E62" s="12">
        <v>0</v>
      </c>
      <c r="F62" s="8">
        <v>0</v>
      </c>
      <c r="G62" s="12">
        <v>1</v>
      </c>
      <c r="H62" s="8">
        <v>5</v>
      </c>
      <c r="I62" s="12">
        <v>0</v>
      </c>
    </row>
    <row r="63" spans="2:9" ht="15" customHeight="1" x14ac:dyDescent="0.2">
      <c r="B63" t="s">
        <v>155</v>
      </c>
      <c r="C63" s="12">
        <v>1</v>
      </c>
      <c r="D63" s="8">
        <v>1.35</v>
      </c>
      <c r="E63" s="12">
        <v>0</v>
      </c>
      <c r="F63" s="8">
        <v>0</v>
      </c>
      <c r="G63" s="12">
        <v>1</v>
      </c>
      <c r="H63" s="8">
        <v>5</v>
      </c>
      <c r="I63" s="12">
        <v>0</v>
      </c>
    </row>
    <row r="64" spans="2:9" ht="15" customHeight="1" x14ac:dyDescent="0.2">
      <c r="B64" t="s">
        <v>186</v>
      </c>
      <c r="C64" s="12">
        <v>1</v>
      </c>
      <c r="D64" s="8">
        <v>1.35</v>
      </c>
      <c r="E64" s="12">
        <v>1</v>
      </c>
      <c r="F64" s="8">
        <v>1.92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203</v>
      </c>
      <c r="C65" s="12">
        <v>1</v>
      </c>
      <c r="D65" s="8">
        <v>1.35</v>
      </c>
      <c r="E65" s="12">
        <v>1</v>
      </c>
      <c r="F65" s="8">
        <v>1.92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156</v>
      </c>
      <c r="C66" s="12">
        <v>1</v>
      </c>
      <c r="D66" s="8">
        <v>1.35</v>
      </c>
      <c r="E66" s="12">
        <v>1</v>
      </c>
      <c r="F66" s="8">
        <v>1.92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223</v>
      </c>
      <c r="C67" s="12">
        <v>1</v>
      </c>
      <c r="D67" s="8">
        <v>1.35</v>
      </c>
      <c r="E67" s="12">
        <v>1</v>
      </c>
      <c r="F67" s="8">
        <v>1.92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213</v>
      </c>
      <c r="C68" s="12">
        <v>1</v>
      </c>
      <c r="D68" s="8">
        <v>1.35</v>
      </c>
      <c r="E68" s="12">
        <v>0</v>
      </c>
      <c r="F68" s="8">
        <v>0</v>
      </c>
      <c r="G68" s="12">
        <v>1</v>
      </c>
      <c r="H68" s="8">
        <v>5</v>
      </c>
      <c r="I68" s="12">
        <v>0</v>
      </c>
    </row>
    <row r="69" spans="2:9" ht="15" customHeight="1" x14ac:dyDescent="0.2">
      <c r="B69" t="s">
        <v>248</v>
      </c>
      <c r="C69" s="12">
        <v>1</v>
      </c>
      <c r="D69" s="8">
        <v>1.35</v>
      </c>
      <c r="E69" s="12">
        <v>0</v>
      </c>
      <c r="F69" s="8">
        <v>0</v>
      </c>
      <c r="G69" s="12">
        <v>1</v>
      </c>
      <c r="H69" s="8">
        <v>5</v>
      </c>
      <c r="I69" s="12">
        <v>0</v>
      </c>
    </row>
    <row r="70" spans="2:9" ht="15" customHeight="1" x14ac:dyDescent="0.2">
      <c r="B70" t="s">
        <v>271</v>
      </c>
      <c r="C70" s="12">
        <v>1</v>
      </c>
      <c r="D70" s="8">
        <v>1.35</v>
      </c>
      <c r="E70" s="12">
        <v>0</v>
      </c>
      <c r="F70" s="8">
        <v>0</v>
      </c>
      <c r="G70" s="12">
        <v>1</v>
      </c>
      <c r="H70" s="8">
        <v>5</v>
      </c>
      <c r="I70" s="12">
        <v>0</v>
      </c>
    </row>
    <row r="71" spans="2:9" ht="15" customHeight="1" x14ac:dyDescent="0.2">
      <c r="B71" t="s">
        <v>269</v>
      </c>
      <c r="C71" s="12">
        <v>1</v>
      </c>
      <c r="D71" s="8">
        <v>1.35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272</v>
      </c>
      <c r="C72" s="12">
        <v>1</v>
      </c>
      <c r="D72" s="8">
        <v>1.35</v>
      </c>
      <c r="E72" s="12">
        <v>0</v>
      </c>
      <c r="F72" s="8">
        <v>0</v>
      </c>
      <c r="G72" s="12">
        <v>1</v>
      </c>
      <c r="H72" s="8">
        <v>5</v>
      </c>
      <c r="I72" s="12">
        <v>0</v>
      </c>
    </row>
    <row r="73" spans="2:9" ht="15" customHeight="1" x14ac:dyDescent="0.2">
      <c r="B73" t="s">
        <v>267</v>
      </c>
      <c r="C73" s="12">
        <v>1</v>
      </c>
      <c r="D73" s="8">
        <v>1.35</v>
      </c>
      <c r="E73" s="12">
        <v>1</v>
      </c>
      <c r="F73" s="8">
        <v>1.92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181</v>
      </c>
      <c r="C74" s="12">
        <v>1</v>
      </c>
      <c r="D74" s="8">
        <v>1.35</v>
      </c>
      <c r="E74" s="12">
        <v>1</v>
      </c>
      <c r="F74" s="8">
        <v>1.92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177</v>
      </c>
      <c r="C75" s="12">
        <v>1</v>
      </c>
      <c r="D75" s="8">
        <v>1.35</v>
      </c>
      <c r="E75" s="12">
        <v>1</v>
      </c>
      <c r="F75" s="8">
        <v>1.92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212</v>
      </c>
      <c r="C76" s="12">
        <v>1</v>
      </c>
      <c r="D76" s="8">
        <v>1.35</v>
      </c>
      <c r="E76" s="12">
        <v>1</v>
      </c>
      <c r="F76" s="8">
        <v>1.92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225</v>
      </c>
      <c r="C77" s="12">
        <v>1</v>
      </c>
      <c r="D77" s="8">
        <v>1.35</v>
      </c>
      <c r="E77" s="12">
        <v>0</v>
      </c>
      <c r="F77" s="8">
        <v>0</v>
      </c>
      <c r="G77" s="12">
        <v>1</v>
      </c>
      <c r="H77" s="8">
        <v>5</v>
      </c>
      <c r="I77" s="12">
        <v>0</v>
      </c>
    </row>
    <row r="78" spans="2:9" ht="15" customHeight="1" x14ac:dyDescent="0.2">
      <c r="B78" t="s">
        <v>205</v>
      </c>
      <c r="C78" s="12">
        <v>1</v>
      </c>
      <c r="D78" s="8">
        <v>1.35</v>
      </c>
      <c r="E78" s="12">
        <v>0</v>
      </c>
      <c r="F78" s="8">
        <v>0</v>
      </c>
      <c r="G78" s="12">
        <v>1</v>
      </c>
      <c r="H78" s="8">
        <v>5</v>
      </c>
      <c r="I78" s="12">
        <v>0</v>
      </c>
    </row>
    <row r="79" spans="2:9" ht="15" customHeight="1" x14ac:dyDescent="0.2">
      <c r="B79" t="s">
        <v>273</v>
      </c>
      <c r="C79" s="12">
        <v>1</v>
      </c>
      <c r="D79" s="8">
        <v>1.35</v>
      </c>
      <c r="E79" s="12">
        <v>1</v>
      </c>
      <c r="F79" s="8">
        <v>1.92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274</v>
      </c>
      <c r="C80" s="12">
        <v>1</v>
      </c>
      <c r="D80" s="8">
        <v>1.35</v>
      </c>
      <c r="E80" s="12">
        <v>1</v>
      </c>
      <c r="F80" s="8">
        <v>1.92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178</v>
      </c>
      <c r="C81" s="12">
        <v>1</v>
      </c>
      <c r="D81" s="8">
        <v>1.35</v>
      </c>
      <c r="E81" s="12">
        <v>1</v>
      </c>
      <c r="F81" s="8">
        <v>1.92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166</v>
      </c>
      <c r="C82" s="12">
        <v>1</v>
      </c>
      <c r="D82" s="8">
        <v>1.35</v>
      </c>
      <c r="E82" s="12">
        <v>0</v>
      </c>
      <c r="F82" s="8">
        <v>0</v>
      </c>
      <c r="G82" s="12">
        <v>1</v>
      </c>
      <c r="H82" s="8">
        <v>5</v>
      </c>
      <c r="I82" s="12">
        <v>0</v>
      </c>
    </row>
    <row r="83" spans="2:9" ht="15" customHeight="1" x14ac:dyDescent="0.2">
      <c r="B83" t="s">
        <v>231</v>
      </c>
      <c r="C83" s="12">
        <v>1</v>
      </c>
      <c r="D83" s="8">
        <v>1.35</v>
      </c>
      <c r="E83" s="12">
        <v>1</v>
      </c>
      <c r="F83" s="8">
        <v>1.92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218</v>
      </c>
      <c r="C84" s="12">
        <v>1</v>
      </c>
      <c r="D84" s="8">
        <v>1.35</v>
      </c>
      <c r="E84" s="12">
        <v>1</v>
      </c>
      <c r="F84" s="8">
        <v>1.92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182</v>
      </c>
      <c r="C85" s="12">
        <v>1</v>
      </c>
      <c r="D85" s="8">
        <v>1.35</v>
      </c>
      <c r="E85" s="12">
        <v>1</v>
      </c>
      <c r="F85" s="8">
        <v>1.92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169</v>
      </c>
      <c r="C86" s="12">
        <v>1</v>
      </c>
      <c r="D86" s="8">
        <v>1.35</v>
      </c>
      <c r="E86" s="12">
        <v>1</v>
      </c>
      <c r="F86" s="8">
        <v>1.92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170</v>
      </c>
      <c r="C87" s="12">
        <v>1</v>
      </c>
      <c r="D87" s="8">
        <v>1.35</v>
      </c>
      <c r="E87" s="12">
        <v>1</v>
      </c>
      <c r="F87" s="8">
        <v>1.92</v>
      </c>
      <c r="G87" s="12">
        <v>0</v>
      </c>
      <c r="H87" s="8">
        <v>0</v>
      </c>
      <c r="I87" s="12">
        <v>0</v>
      </c>
    </row>
    <row r="88" spans="2:9" ht="15" customHeight="1" x14ac:dyDescent="0.2">
      <c r="B88" t="s">
        <v>222</v>
      </c>
      <c r="C88" s="12">
        <v>1</v>
      </c>
      <c r="D88" s="8">
        <v>1.35</v>
      </c>
      <c r="E88" s="12">
        <v>1</v>
      </c>
      <c r="F88" s="8">
        <v>1.92</v>
      </c>
      <c r="G88" s="12">
        <v>0</v>
      </c>
      <c r="H88" s="8">
        <v>0</v>
      </c>
      <c r="I88" s="12">
        <v>0</v>
      </c>
    </row>
    <row r="89" spans="2:9" ht="15" customHeight="1" x14ac:dyDescent="0.2">
      <c r="B89" t="s">
        <v>246</v>
      </c>
      <c r="C89" s="12">
        <v>1</v>
      </c>
      <c r="D89" s="8">
        <v>1.35</v>
      </c>
      <c r="E89" s="12">
        <v>1</v>
      </c>
      <c r="F89" s="8">
        <v>1.92</v>
      </c>
      <c r="G89" s="12">
        <v>0</v>
      </c>
      <c r="H89" s="8">
        <v>0</v>
      </c>
      <c r="I89" s="12">
        <v>0</v>
      </c>
    </row>
    <row r="90" spans="2:9" ht="15" customHeight="1" x14ac:dyDescent="0.2">
      <c r="B90" t="s">
        <v>171</v>
      </c>
      <c r="C90" s="12">
        <v>1</v>
      </c>
      <c r="D90" s="8">
        <v>1.35</v>
      </c>
      <c r="E90" s="12">
        <v>1</v>
      </c>
      <c r="F90" s="8">
        <v>1.92</v>
      </c>
      <c r="G90" s="12">
        <v>0</v>
      </c>
      <c r="H90" s="8">
        <v>0</v>
      </c>
      <c r="I90" s="12">
        <v>0</v>
      </c>
    </row>
    <row r="91" spans="2:9" ht="15" customHeight="1" x14ac:dyDescent="0.2">
      <c r="B91" t="s">
        <v>275</v>
      </c>
      <c r="C91" s="12">
        <v>1</v>
      </c>
      <c r="D91" s="8">
        <v>1.35</v>
      </c>
      <c r="E91" s="12">
        <v>1</v>
      </c>
      <c r="F91" s="8">
        <v>1.92</v>
      </c>
      <c r="G91" s="12">
        <v>0</v>
      </c>
      <c r="H91" s="8">
        <v>0</v>
      </c>
      <c r="I91" s="12">
        <v>0</v>
      </c>
    </row>
    <row r="92" spans="2:9" ht="15" customHeight="1" x14ac:dyDescent="0.2">
      <c r="B92" t="s">
        <v>226</v>
      </c>
      <c r="C92" s="12">
        <v>1</v>
      </c>
      <c r="D92" s="8">
        <v>1.35</v>
      </c>
      <c r="E92" s="12">
        <v>0</v>
      </c>
      <c r="F92" s="8">
        <v>0</v>
      </c>
      <c r="G92" s="12">
        <v>1</v>
      </c>
      <c r="H92" s="8">
        <v>5</v>
      </c>
      <c r="I92" s="12">
        <v>0</v>
      </c>
    </row>
    <row r="93" spans="2:9" ht="15" customHeight="1" x14ac:dyDescent="0.2">
      <c r="B93" t="s">
        <v>277</v>
      </c>
      <c r="C93" s="12">
        <v>1</v>
      </c>
      <c r="D93" s="8">
        <v>1.35</v>
      </c>
      <c r="E93" s="12">
        <v>1</v>
      </c>
      <c r="F93" s="8">
        <v>1.92</v>
      </c>
      <c r="G93" s="12">
        <v>0</v>
      </c>
      <c r="H93" s="8">
        <v>0</v>
      </c>
      <c r="I93" s="12">
        <v>0</v>
      </c>
    </row>
    <row r="95" spans="2:9" ht="15" customHeight="1" x14ac:dyDescent="0.2">
      <c r="B95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70D2E-DBDF-4471-A029-E442565FB5E7}">
  <sheetPr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357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98</v>
      </c>
      <c r="D6" s="8">
        <v>24.62</v>
      </c>
      <c r="E6" s="12">
        <v>43</v>
      </c>
      <c r="F6" s="8">
        <v>17.55</v>
      </c>
      <c r="G6" s="12">
        <v>55</v>
      </c>
      <c r="H6" s="8">
        <v>38.46</v>
      </c>
      <c r="I6" s="12">
        <v>0</v>
      </c>
    </row>
    <row r="7" spans="2:9" ht="15" customHeight="1" x14ac:dyDescent="0.2">
      <c r="B7" t="s">
        <v>77</v>
      </c>
      <c r="C7" s="12">
        <v>33</v>
      </c>
      <c r="D7" s="8">
        <v>8.2899999999999991</v>
      </c>
      <c r="E7" s="12">
        <v>15</v>
      </c>
      <c r="F7" s="8">
        <v>6.12</v>
      </c>
      <c r="G7" s="12">
        <v>18</v>
      </c>
      <c r="H7" s="8">
        <v>12.59</v>
      </c>
      <c r="I7" s="12">
        <v>0</v>
      </c>
    </row>
    <row r="8" spans="2:9" ht="15" customHeight="1" x14ac:dyDescent="0.2">
      <c r="B8" t="s">
        <v>78</v>
      </c>
      <c r="C8" s="12">
        <v>2</v>
      </c>
      <c r="D8" s="8">
        <v>0.5</v>
      </c>
      <c r="E8" s="12">
        <v>0</v>
      </c>
      <c r="F8" s="8">
        <v>0</v>
      </c>
      <c r="G8" s="12">
        <v>2</v>
      </c>
      <c r="H8" s="8">
        <v>1.4</v>
      </c>
      <c r="I8" s="12">
        <v>0</v>
      </c>
    </row>
    <row r="9" spans="2:9" ht="15" customHeight="1" x14ac:dyDescent="0.2">
      <c r="B9" t="s">
        <v>79</v>
      </c>
      <c r="C9" s="12">
        <v>3</v>
      </c>
      <c r="D9" s="8">
        <v>0.75</v>
      </c>
      <c r="E9" s="12">
        <v>0</v>
      </c>
      <c r="F9" s="8">
        <v>0</v>
      </c>
      <c r="G9" s="12">
        <v>3</v>
      </c>
      <c r="H9" s="8">
        <v>2.1</v>
      </c>
      <c r="I9" s="12">
        <v>0</v>
      </c>
    </row>
    <row r="10" spans="2:9" ht="15" customHeight="1" x14ac:dyDescent="0.2">
      <c r="B10" t="s">
        <v>80</v>
      </c>
      <c r="C10" s="12">
        <v>4</v>
      </c>
      <c r="D10" s="8">
        <v>1.01</v>
      </c>
      <c r="E10" s="12">
        <v>1</v>
      </c>
      <c r="F10" s="8">
        <v>0.41</v>
      </c>
      <c r="G10" s="12">
        <v>3</v>
      </c>
      <c r="H10" s="8">
        <v>2.1</v>
      </c>
      <c r="I10" s="12">
        <v>0</v>
      </c>
    </row>
    <row r="11" spans="2:9" ht="15" customHeight="1" x14ac:dyDescent="0.2">
      <c r="B11" t="s">
        <v>81</v>
      </c>
      <c r="C11" s="12">
        <v>118</v>
      </c>
      <c r="D11" s="8">
        <v>29.65</v>
      </c>
      <c r="E11" s="12">
        <v>91</v>
      </c>
      <c r="F11" s="8">
        <v>37.14</v>
      </c>
      <c r="G11" s="12">
        <v>27</v>
      </c>
      <c r="H11" s="8">
        <v>18.88</v>
      </c>
      <c r="I11" s="12">
        <v>0</v>
      </c>
    </row>
    <row r="12" spans="2:9" ht="15" customHeight="1" x14ac:dyDescent="0.2">
      <c r="B12" t="s">
        <v>82</v>
      </c>
      <c r="C12" s="12">
        <v>2</v>
      </c>
      <c r="D12" s="8">
        <v>0.5</v>
      </c>
      <c r="E12" s="12">
        <v>0</v>
      </c>
      <c r="F12" s="8">
        <v>0</v>
      </c>
      <c r="G12" s="12">
        <v>2</v>
      </c>
      <c r="H12" s="8">
        <v>1.4</v>
      </c>
      <c r="I12" s="12">
        <v>0</v>
      </c>
    </row>
    <row r="13" spans="2:9" ht="15" customHeight="1" x14ac:dyDescent="0.2">
      <c r="B13" t="s">
        <v>83</v>
      </c>
      <c r="C13" s="12">
        <v>15</v>
      </c>
      <c r="D13" s="8">
        <v>3.77</v>
      </c>
      <c r="E13" s="12">
        <v>2</v>
      </c>
      <c r="F13" s="8">
        <v>0.82</v>
      </c>
      <c r="G13" s="12">
        <v>13</v>
      </c>
      <c r="H13" s="8">
        <v>9.09</v>
      </c>
      <c r="I13" s="12">
        <v>0</v>
      </c>
    </row>
    <row r="14" spans="2:9" ht="15" customHeight="1" x14ac:dyDescent="0.2">
      <c r="B14" t="s">
        <v>84</v>
      </c>
      <c r="C14" s="12">
        <v>8</v>
      </c>
      <c r="D14" s="8">
        <v>2.0099999999999998</v>
      </c>
      <c r="E14" s="12">
        <v>6</v>
      </c>
      <c r="F14" s="8">
        <v>2.4500000000000002</v>
      </c>
      <c r="G14" s="12">
        <v>2</v>
      </c>
      <c r="H14" s="8">
        <v>1.4</v>
      </c>
      <c r="I14" s="12">
        <v>0</v>
      </c>
    </row>
    <row r="15" spans="2:9" ht="15" customHeight="1" x14ac:dyDescent="0.2">
      <c r="B15" t="s">
        <v>85</v>
      </c>
      <c r="C15" s="12">
        <v>25</v>
      </c>
      <c r="D15" s="8">
        <v>6.28</v>
      </c>
      <c r="E15" s="12">
        <v>22</v>
      </c>
      <c r="F15" s="8">
        <v>8.98</v>
      </c>
      <c r="G15" s="12">
        <v>2</v>
      </c>
      <c r="H15" s="8">
        <v>1.4</v>
      </c>
      <c r="I15" s="12">
        <v>0</v>
      </c>
    </row>
    <row r="16" spans="2:9" ht="15" customHeight="1" x14ac:dyDescent="0.2">
      <c r="B16" t="s">
        <v>86</v>
      </c>
      <c r="C16" s="12">
        <v>44</v>
      </c>
      <c r="D16" s="8">
        <v>11.06</v>
      </c>
      <c r="E16" s="12">
        <v>40</v>
      </c>
      <c r="F16" s="8">
        <v>16.329999999999998</v>
      </c>
      <c r="G16" s="12">
        <v>4</v>
      </c>
      <c r="H16" s="8">
        <v>2.8</v>
      </c>
      <c r="I16" s="12">
        <v>0</v>
      </c>
    </row>
    <row r="17" spans="2:9" ht="15" customHeight="1" x14ac:dyDescent="0.2">
      <c r="B17" t="s">
        <v>87</v>
      </c>
      <c r="C17" s="12">
        <v>7</v>
      </c>
      <c r="D17" s="8">
        <v>1.76</v>
      </c>
      <c r="E17" s="12">
        <v>2</v>
      </c>
      <c r="F17" s="8">
        <v>0.82</v>
      </c>
      <c r="G17" s="12">
        <v>1</v>
      </c>
      <c r="H17" s="8">
        <v>0.7</v>
      </c>
      <c r="I17" s="12">
        <v>0</v>
      </c>
    </row>
    <row r="18" spans="2:9" ht="15" customHeight="1" x14ac:dyDescent="0.2">
      <c r="B18" t="s">
        <v>88</v>
      </c>
      <c r="C18" s="12">
        <v>20</v>
      </c>
      <c r="D18" s="8">
        <v>5.03</v>
      </c>
      <c r="E18" s="12">
        <v>6</v>
      </c>
      <c r="F18" s="8">
        <v>2.4500000000000002</v>
      </c>
      <c r="G18" s="12">
        <v>10</v>
      </c>
      <c r="H18" s="8">
        <v>6.99</v>
      </c>
      <c r="I18" s="12">
        <v>1</v>
      </c>
    </row>
    <row r="19" spans="2:9" ht="15" customHeight="1" x14ac:dyDescent="0.2">
      <c r="B19" t="s">
        <v>89</v>
      </c>
      <c r="C19" s="12">
        <v>19</v>
      </c>
      <c r="D19" s="8">
        <v>4.7699999999999996</v>
      </c>
      <c r="E19" s="12">
        <v>17</v>
      </c>
      <c r="F19" s="8">
        <v>6.94</v>
      </c>
      <c r="G19" s="12">
        <v>1</v>
      </c>
      <c r="H19" s="8">
        <v>0.7</v>
      </c>
      <c r="I19" s="12">
        <v>0</v>
      </c>
    </row>
    <row r="20" spans="2:9" ht="15" customHeight="1" x14ac:dyDescent="0.2">
      <c r="B20" s="9" t="s">
        <v>285</v>
      </c>
      <c r="C20" s="12">
        <f>SUM(LTBL_40610[総数／事業所数])</f>
        <v>398</v>
      </c>
      <c r="E20" s="12">
        <f>SUBTOTAL(109,LTBL_40610[個人／事業所数])</f>
        <v>245</v>
      </c>
      <c r="G20" s="12">
        <f>SUBTOTAL(109,LTBL_40610[法人／事業所数])</f>
        <v>143</v>
      </c>
      <c r="I20" s="12">
        <f>SUBTOTAL(109,LTBL_40610[法人以外の団体／事業所数])</f>
        <v>1</v>
      </c>
    </row>
    <row r="21" spans="2:9" ht="15" customHeight="1" x14ac:dyDescent="0.2">
      <c r="E21" s="11">
        <f>LTBL_40610[[#Totals],[個人／事業所数]]/LTBL_40610[[#Totals],[総数／事業所数]]</f>
        <v>0.61557788944723613</v>
      </c>
      <c r="G21" s="11">
        <f>LTBL_40610[[#Totals],[法人／事業所数]]/LTBL_40610[[#Totals],[総数／事業所数]]</f>
        <v>0.3592964824120603</v>
      </c>
      <c r="I21" s="11">
        <f>LTBL_40610[[#Totals],[法人以外の団体／事業所数]]/LTBL_40610[[#Totals],[総数／事業所数]]</f>
        <v>2.5125628140703518E-3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98</v>
      </c>
      <c r="C24" s="12">
        <v>65</v>
      </c>
      <c r="D24" s="8">
        <v>16.329999999999998</v>
      </c>
      <c r="E24" s="12">
        <v>23</v>
      </c>
      <c r="F24" s="8">
        <v>9.39</v>
      </c>
      <c r="G24" s="12">
        <v>42</v>
      </c>
      <c r="H24" s="8">
        <v>29.37</v>
      </c>
      <c r="I24" s="12">
        <v>0</v>
      </c>
    </row>
    <row r="25" spans="2:9" ht="15" customHeight="1" x14ac:dyDescent="0.2">
      <c r="B25" t="s">
        <v>107</v>
      </c>
      <c r="C25" s="12">
        <v>43</v>
      </c>
      <c r="D25" s="8">
        <v>10.8</v>
      </c>
      <c r="E25" s="12">
        <v>34</v>
      </c>
      <c r="F25" s="8">
        <v>13.88</v>
      </c>
      <c r="G25" s="12">
        <v>9</v>
      </c>
      <c r="H25" s="8">
        <v>6.29</v>
      </c>
      <c r="I25" s="12">
        <v>0</v>
      </c>
    </row>
    <row r="26" spans="2:9" ht="15" customHeight="1" x14ac:dyDescent="0.2">
      <c r="B26" t="s">
        <v>113</v>
      </c>
      <c r="C26" s="12">
        <v>37</v>
      </c>
      <c r="D26" s="8">
        <v>9.3000000000000007</v>
      </c>
      <c r="E26" s="12">
        <v>34</v>
      </c>
      <c r="F26" s="8">
        <v>13.88</v>
      </c>
      <c r="G26" s="12">
        <v>3</v>
      </c>
      <c r="H26" s="8">
        <v>2.1</v>
      </c>
      <c r="I26" s="12">
        <v>0</v>
      </c>
    </row>
    <row r="27" spans="2:9" ht="15" customHeight="1" x14ac:dyDescent="0.2">
      <c r="B27" t="s">
        <v>105</v>
      </c>
      <c r="C27" s="12">
        <v>30</v>
      </c>
      <c r="D27" s="8">
        <v>7.54</v>
      </c>
      <c r="E27" s="12">
        <v>26</v>
      </c>
      <c r="F27" s="8">
        <v>10.61</v>
      </c>
      <c r="G27" s="12">
        <v>4</v>
      </c>
      <c r="H27" s="8">
        <v>2.8</v>
      </c>
      <c r="I27" s="12">
        <v>0</v>
      </c>
    </row>
    <row r="28" spans="2:9" ht="15" customHeight="1" x14ac:dyDescent="0.2">
      <c r="B28" t="s">
        <v>112</v>
      </c>
      <c r="C28" s="12">
        <v>21</v>
      </c>
      <c r="D28" s="8">
        <v>5.28</v>
      </c>
      <c r="E28" s="12">
        <v>19</v>
      </c>
      <c r="F28" s="8">
        <v>7.76</v>
      </c>
      <c r="G28" s="12">
        <v>2</v>
      </c>
      <c r="H28" s="8">
        <v>1.4</v>
      </c>
      <c r="I28" s="12">
        <v>0</v>
      </c>
    </row>
    <row r="29" spans="2:9" ht="15" customHeight="1" x14ac:dyDescent="0.2">
      <c r="B29" t="s">
        <v>100</v>
      </c>
      <c r="C29" s="12">
        <v>19</v>
      </c>
      <c r="D29" s="8">
        <v>4.7699999999999996</v>
      </c>
      <c r="E29" s="12">
        <v>10</v>
      </c>
      <c r="F29" s="8">
        <v>4.08</v>
      </c>
      <c r="G29" s="12">
        <v>9</v>
      </c>
      <c r="H29" s="8">
        <v>6.29</v>
      </c>
      <c r="I29" s="12">
        <v>0</v>
      </c>
    </row>
    <row r="30" spans="2:9" ht="15" customHeight="1" x14ac:dyDescent="0.2">
      <c r="B30" t="s">
        <v>99</v>
      </c>
      <c r="C30" s="12">
        <v>14</v>
      </c>
      <c r="D30" s="8">
        <v>3.52</v>
      </c>
      <c r="E30" s="12">
        <v>10</v>
      </c>
      <c r="F30" s="8">
        <v>4.08</v>
      </c>
      <c r="G30" s="12">
        <v>4</v>
      </c>
      <c r="H30" s="8">
        <v>2.8</v>
      </c>
      <c r="I30" s="12">
        <v>0</v>
      </c>
    </row>
    <row r="31" spans="2:9" ht="15" customHeight="1" x14ac:dyDescent="0.2">
      <c r="B31" t="s">
        <v>123</v>
      </c>
      <c r="C31" s="12">
        <v>14</v>
      </c>
      <c r="D31" s="8">
        <v>3.52</v>
      </c>
      <c r="E31" s="12">
        <v>14</v>
      </c>
      <c r="F31" s="8">
        <v>5.71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106</v>
      </c>
      <c r="C32" s="12">
        <v>13</v>
      </c>
      <c r="D32" s="8">
        <v>3.27</v>
      </c>
      <c r="E32" s="12">
        <v>13</v>
      </c>
      <c r="F32" s="8">
        <v>5.31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116</v>
      </c>
      <c r="C33" s="12">
        <v>12</v>
      </c>
      <c r="D33" s="8">
        <v>3.02</v>
      </c>
      <c r="E33" s="12">
        <v>0</v>
      </c>
      <c r="F33" s="8">
        <v>0</v>
      </c>
      <c r="G33" s="12">
        <v>8</v>
      </c>
      <c r="H33" s="8">
        <v>5.59</v>
      </c>
      <c r="I33" s="12">
        <v>1</v>
      </c>
    </row>
    <row r="34" spans="2:9" ht="15" customHeight="1" x14ac:dyDescent="0.2">
      <c r="B34" t="s">
        <v>109</v>
      </c>
      <c r="C34" s="12">
        <v>11</v>
      </c>
      <c r="D34" s="8">
        <v>2.76</v>
      </c>
      <c r="E34" s="12">
        <v>1</v>
      </c>
      <c r="F34" s="8">
        <v>0.41</v>
      </c>
      <c r="G34" s="12">
        <v>10</v>
      </c>
      <c r="H34" s="8">
        <v>6.99</v>
      </c>
      <c r="I34" s="12">
        <v>0</v>
      </c>
    </row>
    <row r="35" spans="2:9" ht="15" customHeight="1" x14ac:dyDescent="0.2">
      <c r="B35" t="s">
        <v>115</v>
      </c>
      <c r="C35" s="12">
        <v>8</v>
      </c>
      <c r="D35" s="8">
        <v>2.0099999999999998</v>
      </c>
      <c r="E35" s="12">
        <v>6</v>
      </c>
      <c r="F35" s="8">
        <v>2.4500000000000002</v>
      </c>
      <c r="G35" s="12">
        <v>2</v>
      </c>
      <c r="H35" s="8">
        <v>1.4</v>
      </c>
      <c r="I35" s="12">
        <v>0</v>
      </c>
    </row>
    <row r="36" spans="2:9" ht="15" customHeight="1" x14ac:dyDescent="0.2">
      <c r="B36" t="s">
        <v>119</v>
      </c>
      <c r="C36" s="12">
        <v>7</v>
      </c>
      <c r="D36" s="8">
        <v>1.76</v>
      </c>
      <c r="E36" s="12">
        <v>1</v>
      </c>
      <c r="F36" s="8">
        <v>0.41</v>
      </c>
      <c r="G36" s="12">
        <v>6</v>
      </c>
      <c r="H36" s="8">
        <v>4.2</v>
      </c>
      <c r="I36" s="12">
        <v>0</v>
      </c>
    </row>
    <row r="37" spans="2:9" ht="15" customHeight="1" x14ac:dyDescent="0.2">
      <c r="B37" t="s">
        <v>104</v>
      </c>
      <c r="C37" s="12">
        <v>7</v>
      </c>
      <c r="D37" s="8">
        <v>1.76</v>
      </c>
      <c r="E37" s="12">
        <v>6</v>
      </c>
      <c r="F37" s="8">
        <v>2.4500000000000002</v>
      </c>
      <c r="G37" s="12">
        <v>1</v>
      </c>
      <c r="H37" s="8">
        <v>0.7</v>
      </c>
      <c r="I37" s="12">
        <v>0</v>
      </c>
    </row>
    <row r="38" spans="2:9" ht="15" customHeight="1" x14ac:dyDescent="0.2">
      <c r="B38" t="s">
        <v>126</v>
      </c>
      <c r="C38" s="12">
        <v>7</v>
      </c>
      <c r="D38" s="8">
        <v>1.76</v>
      </c>
      <c r="E38" s="12">
        <v>7</v>
      </c>
      <c r="F38" s="8">
        <v>2.86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118</v>
      </c>
      <c r="C39" s="12">
        <v>7</v>
      </c>
      <c r="D39" s="8">
        <v>1.76</v>
      </c>
      <c r="E39" s="12">
        <v>6</v>
      </c>
      <c r="F39" s="8">
        <v>2.4500000000000002</v>
      </c>
      <c r="G39" s="12">
        <v>1</v>
      </c>
      <c r="H39" s="8">
        <v>0.7</v>
      </c>
      <c r="I39" s="12">
        <v>0</v>
      </c>
    </row>
    <row r="40" spans="2:9" ht="15" customHeight="1" x14ac:dyDescent="0.2">
      <c r="B40" t="s">
        <v>114</v>
      </c>
      <c r="C40" s="12">
        <v>7</v>
      </c>
      <c r="D40" s="8">
        <v>1.76</v>
      </c>
      <c r="E40" s="12">
        <v>2</v>
      </c>
      <c r="F40" s="8">
        <v>0.82</v>
      </c>
      <c r="G40" s="12">
        <v>1</v>
      </c>
      <c r="H40" s="8">
        <v>0.7</v>
      </c>
      <c r="I40" s="12">
        <v>0</v>
      </c>
    </row>
    <row r="41" spans="2:9" ht="15" customHeight="1" x14ac:dyDescent="0.2">
      <c r="B41" t="s">
        <v>111</v>
      </c>
      <c r="C41" s="12">
        <v>5</v>
      </c>
      <c r="D41" s="8">
        <v>1.26</v>
      </c>
      <c r="E41" s="12">
        <v>3</v>
      </c>
      <c r="F41" s="8">
        <v>1.22</v>
      </c>
      <c r="G41" s="12">
        <v>2</v>
      </c>
      <c r="H41" s="8">
        <v>1.4</v>
      </c>
      <c r="I41" s="12">
        <v>0</v>
      </c>
    </row>
    <row r="42" spans="2:9" ht="15" customHeight="1" x14ac:dyDescent="0.2">
      <c r="B42" t="s">
        <v>129</v>
      </c>
      <c r="C42" s="12">
        <v>4</v>
      </c>
      <c r="D42" s="8">
        <v>1.01</v>
      </c>
      <c r="E42" s="12">
        <v>1</v>
      </c>
      <c r="F42" s="8">
        <v>0.41</v>
      </c>
      <c r="G42" s="12">
        <v>3</v>
      </c>
      <c r="H42" s="8">
        <v>2.1</v>
      </c>
      <c r="I42" s="12">
        <v>0</v>
      </c>
    </row>
    <row r="43" spans="2:9" ht="15" customHeight="1" x14ac:dyDescent="0.2">
      <c r="B43" t="s">
        <v>132</v>
      </c>
      <c r="C43" s="12">
        <v>4</v>
      </c>
      <c r="D43" s="8">
        <v>1.01</v>
      </c>
      <c r="E43" s="12">
        <v>4</v>
      </c>
      <c r="F43" s="8">
        <v>1.63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124</v>
      </c>
      <c r="C44" s="12">
        <v>4</v>
      </c>
      <c r="D44" s="8">
        <v>1.01</v>
      </c>
      <c r="E44" s="12">
        <v>2</v>
      </c>
      <c r="F44" s="8">
        <v>0.82</v>
      </c>
      <c r="G44" s="12">
        <v>2</v>
      </c>
      <c r="H44" s="8">
        <v>1.4</v>
      </c>
      <c r="I44" s="12">
        <v>0</v>
      </c>
    </row>
    <row r="45" spans="2:9" ht="15" customHeight="1" x14ac:dyDescent="0.2">
      <c r="B45" t="s">
        <v>101</v>
      </c>
      <c r="C45" s="12">
        <v>4</v>
      </c>
      <c r="D45" s="8">
        <v>1.01</v>
      </c>
      <c r="E45" s="12">
        <v>2</v>
      </c>
      <c r="F45" s="8">
        <v>0.82</v>
      </c>
      <c r="G45" s="12">
        <v>2</v>
      </c>
      <c r="H45" s="8">
        <v>1.4</v>
      </c>
      <c r="I45" s="12">
        <v>0</v>
      </c>
    </row>
    <row r="46" spans="2:9" ht="15" customHeight="1" x14ac:dyDescent="0.2">
      <c r="B46" t="s">
        <v>102</v>
      </c>
      <c r="C46" s="12">
        <v>4</v>
      </c>
      <c r="D46" s="8">
        <v>1.01</v>
      </c>
      <c r="E46" s="12">
        <v>0</v>
      </c>
      <c r="F46" s="8">
        <v>0</v>
      </c>
      <c r="G46" s="12">
        <v>4</v>
      </c>
      <c r="H46" s="8">
        <v>2.8</v>
      </c>
      <c r="I46" s="12">
        <v>0</v>
      </c>
    </row>
    <row r="47" spans="2:9" ht="15" customHeight="1" x14ac:dyDescent="0.2">
      <c r="B47" t="s">
        <v>103</v>
      </c>
      <c r="C47" s="12">
        <v>4</v>
      </c>
      <c r="D47" s="8">
        <v>1.01</v>
      </c>
      <c r="E47" s="12">
        <v>0</v>
      </c>
      <c r="F47" s="8">
        <v>0</v>
      </c>
      <c r="G47" s="12">
        <v>4</v>
      </c>
      <c r="H47" s="8">
        <v>2.8</v>
      </c>
      <c r="I47" s="12">
        <v>0</v>
      </c>
    </row>
    <row r="48" spans="2:9" ht="15" customHeight="1" x14ac:dyDescent="0.2">
      <c r="B48" t="s">
        <v>121</v>
      </c>
      <c r="C48" s="12">
        <v>4</v>
      </c>
      <c r="D48" s="8">
        <v>1.01</v>
      </c>
      <c r="E48" s="12">
        <v>3</v>
      </c>
      <c r="F48" s="8">
        <v>1.22</v>
      </c>
      <c r="G48" s="12">
        <v>0</v>
      </c>
      <c r="H48" s="8">
        <v>0</v>
      </c>
      <c r="I48" s="12">
        <v>0</v>
      </c>
    </row>
    <row r="51" spans="2:9" ht="33" customHeight="1" x14ac:dyDescent="0.2">
      <c r="B51" t="s">
        <v>287</v>
      </c>
      <c r="C51" s="10" t="s">
        <v>91</v>
      </c>
      <c r="D51" s="10" t="s">
        <v>92</v>
      </c>
      <c r="E51" s="10" t="s">
        <v>93</v>
      </c>
      <c r="F51" s="10" t="s">
        <v>94</v>
      </c>
      <c r="G51" s="10" t="s">
        <v>95</v>
      </c>
      <c r="H51" s="10" t="s">
        <v>96</v>
      </c>
      <c r="I51" s="10" t="s">
        <v>97</v>
      </c>
    </row>
    <row r="52" spans="2:9" ht="15" customHeight="1" x14ac:dyDescent="0.2">
      <c r="B52" t="s">
        <v>154</v>
      </c>
      <c r="C52" s="12">
        <v>40</v>
      </c>
      <c r="D52" s="8">
        <v>10.050000000000001</v>
      </c>
      <c r="E52" s="12">
        <v>9</v>
      </c>
      <c r="F52" s="8">
        <v>3.67</v>
      </c>
      <c r="G52" s="12">
        <v>31</v>
      </c>
      <c r="H52" s="8">
        <v>21.68</v>
      </c>
      <c r="I52" s="12">
        <v>0</v>
      </c>
    </row>
    <row r="53" spans="2:9" ht="15" customHeight="1" x14ac:dyDescent="0.2">
      <c r="B53" t="s">
        <v>259</v>
      </c>
      <c r="C53" s="12">
        <v>23</v>
      </c>
      <c r="D53" s="8">
        <v>5.78</v>
      </c>
      <c r="E53" s="12">
        <v>22</v>
      </c>
      <c r="F53" s="8">
        <v>8.98</v>
      </c>
      <c r="G53" s="12">
        <v>1</v>
      </c>
      <c r="H53" s="8">
        <v>0.7</v>
      </c>
      <c r="I53" s="12">
        <v>0</v>
      </c>
    </row>
    <row r="54" spans="2:9" ht="15" customHeight="1" x14ac:dyDescent="0.2">
      <c r="B54" t="s">
        <v>170</v>
      </c>
      <c r="C54" s="12">
        <v>16</v>
      </c>
      <c r="D54" s="8">
        <v>4.0199999999999996</v>
      </c>
      <c r="E54" s="12">
        <v>16</v>
      </c>
      <c r="F54" s="8">
        <v>6.53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169</v>
      </c>
      <c r="C55" s="12">
        <v>14</v>
      </c>
      <c r="D55" s="8">
        <v>3.52</v>
      </c>
      <c r="E55" s="12">
        <v>13</v>
      </c>
      <c r="F55" s="8">
        <v>5.31</v>
      </c>
      <c r="G55" s="12">
        <v>1</v>
      </c>
      <c r="H55" s="8">
        <v>0.7</v>
      </c>
      <c r="I55" s="12">
        <v>0</v>
      </c>
    </row>
    <row r="56" spans="2:9" ht="15" customHeight="1" x14ac:dyDescent="0.2">
      <c r="B56" t="s">
        <v>173</v>
      </c>
      <c r="C56" s="12">
        <v>14</v>
      </c>
      <c r="D56" s="8">
        <v>3.52</v>
      </c>
      <c r="E56" s="12">
        <v>14</v>
      </c>
      <c r="F56" s="8">
        <v>5.71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155</v>
      </c>
      <c r="C57" s="12">
        <v>12</v>
      </c>
      <c r="D57" s="8">
        <v>3.02</v>
      </c>
      <c r="E57" s="12">
        <v>6</v>
      </c>
      <c r="F57" s="8">
        <v>2.4500000000000002</v>
      </c>
      <c r="G57" s="12">
        <v>6</v>
      </c>
      <c r="H57" s="8">
        <v>4.2</v>
      </c>
      <c r="I57" s="12">
        <v>0</v>
      </c>
    </row>
    <row r="58" spans="2:9" ht="15" customHeight="1" x14ac:dyDescent="0.2">
      <c r="B58" t="s">
        <v>166</v>
      </c>
      <c r="C58" s="12">
        <v>10</v>
      </c>
      <c r="D58" s="8">
        <v>2.5099999999999998</v>
      </c>
      <c r="E58" s="12">
        <v>10</v>
      </c>
      <c r="F58" s="8">
        <v>4.08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158</v>
      </c>
      <c r="C59" s="12">
        <v>9</v>
      </c>
      <c r="D59" s="8">
        <v>2.2599999999999998</v>
      </c>
      <c r="E59" s="12">
        <v>9</v>
      </c>
      <c r="F59" s="8">
        <v>3.67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232</v>
      </c>
      <c r="C60" s="12">
        <v>7</v>
      </c>
      <c r="D60" s="8">
        <v>1.76</v>
      </c>
      <c r="E60" s="12">
        <v>3</v>
      </c>
      <c r="F60" s="8">
        <v>1.22</v>
      </c>
      <c r="G60" s="12">
        <v>4</v>
      </c>
      <c r="H60" s="8">
        <v>2.8</v>
      </c>
      <c r="I60" s="12">
        <v>0</v>
      </c>
    </row>
    <row r="61" spans="2:9" ht="15" customHeight="1" x14ac:dyDescent="0.2">
      <c r="B61" t="s">
        <v>156</v>
      </c>
      <c r="C61" s="12">
        <v>7</v>
      </c>
      <c r="D61" s="8">
        <v>1.76</v>
      </c>
      <c r="E61" s="12">
        <v>4</v>
      </c>
      <c r="F61" s="8">
        <v>1.63</v>
      </c>
      <c r="G61" s="12">
        <v>3</v>
      </c>
      <c r="H61" s="8">
        <v>2.1</v>
      </c>
      <c r="I61" s="12">
        <v>0</v>
      </c>
    </row>
    <row r="62" spans="2:9" ht="15" customHeight="1" x14ac:dyDescent="0.2">
      <c r="B62" t="s">
        <v>174</v>
      </c>
      <c r="C62" s="12">
        <v>7</v>
      </c>
      <c r="D62" s="8">
        <v>1.76</v>
      </c>
      <c r="E62" s="12">
        <v>5</v>
      </c>
      <c r="F62" s="8">
        <v>2.04</v>
      </c>
      <c r="G62" s="12">
        <v>2</v>
      </c>
      <c r="H62" s="8">
        <v>1.4</v>
      </c>
      <c r="I62" s="12">
        <v>0</v>
      </c>
    </row>
    <row r="63" spans="2:9" ht="15" customHeight="1" x14ac:dyDescent="0.2">
      <c r="B63" t="s">
        <v>159</v>
      </c>
      <c r="C63" s="12">
        <v>7</v>
      </c>
      <c r="D63" s="8">
        <v>1.76</v>
      </c>
      <c r="E63" s="12">
        <v>7</v>
      </c>
      <c r="F63" s="8">
        <v>2.86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160</v>
      </c>
      <c r="C64" s="12">
        <v>7</v>
      </c>
      <c r="D64" s="8">
        <v>1.76</v>
      </c>
      <c r="E64" s="12">
        <v>6</v>
      </c>
      <c r="F64" s="8">
        <v>2.4500000000000002</v>
      </c>
      <c r="G64" s="12">
        <v>1</v>
      </c>
      <c r="H64" s="8">
        <v>0.7</v>
      </c>
      <c r="I64" s="12">
        <v>0</v>
      </c>
    </row>
    <row r="65" spans="2:9" ht="15" customHeight="1" x14ac:dyDescent="0.2">
      <c r="B65" t="s">
        <v>180</v>
      </c>
      <c r="C65" s="12">
        <v>6</v>
      </c>
      <c r="D65" s="8">
        <v>1.51</v>
      </c>
      <c r="E65" s="12">
        <v>1</v>
      </c>
      <c r="F65" s="8">
        <v>0.41</v>
      </c>
      <c r="G65" s="12">
        <v>5</v>
      </c>
      <c r="H65" s="8">
        <v>3.5</v>
      </c>
      <c r="I65" s="12">
        <v>0</v>
      </c>
    </row>
    <row r="66" spans="2:9" ht="15" customHeight="1" x14ac:dyDescent="0.2">
      <c r="B66" t="s">
        <v>208</v>
      </c>
      <c r="C66" s="12">
        <v>6</v>
      </c>
      <c r="D66" s="8">
        <v>1.51</v>
      </c>
      <c r="E66" s="12">
        <v>6</v>
      </c>
      <c r="F66" s="8">
        <v>2.4500000000000002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205</v>
      </c>
      <c r="C67" s="12">
        <v>6</v>
      </c>
      <c r="D67" s="8">
        <v>1.51</v>
      </c>
      <c r="E67" s="12">
        <v>2</v>
      </c>
      <c r="F67" s="8">
        <v>0.82</v>
      </c>
      <c r="G67" s="12">
        <v>4</v>
      </c>
      <c r="H67" s="8">
        <v>2.8</v>
      </c>
      <c r="I67" s="12">
        <v>0</v>
      </c>
    </row>
    <row r="68" spans="2:9" ht="15" customHeight="1" x14ac:dyDescent="0.2">
      <c r="B68" t="s">
        <v>179</v>
      </c>
      <c r="C68" s="12">
        <v>6</v>
      </c>
      <c r="D68" s="8">
        <v>1.51</v>
      </c>
      <c r="E68" s="12">
        <v>5</v>
      </c>
      <c r="F68" s="8">
        <v>2.04</v>
      </c>
      <c r="G68" s="12">
        <v>1</v>
      </c>
      <c r="H68" s="8">
        <v>0.7</v>
      </c>
      <c r="I68" s="12">
        <v>0</v>
      </c>
    </row>
    <row r="69" spans="2:9" ht="15" customHeight="1" x14ac:dyDescent="0.2">
      <c r="B69" t="s">
        <v>157</v>
      </c>
      <c r="C69" s="12">
        <v>5</v>
      </c>
      <c r="D69" s="8">
        <v>1.26</v>
      </c>
      <c r="E69" s="12">
        <v>4</v>
      </c>
      <c r="F69" s="8">
        <v>1.63</v>
      </c>
      <c r="G69" s="12">
        <v>1</v>
      </c>
      <c r="H69" s="8">
        <v>0.7</v>
      </c>
      <c r="I69" s="12">
        <v>0</v>
      </c>
    </row>
    <row r="70" spans="2:9" ht="15" customHeight="1" x14ac:dyDescent="0.2">
      <c r="B70" t="s">
        <v>181</v>
      </c>
      <c r="C70" s="12">
        <v>5</v>
      </c>
      <c r="D70" s="8">
        <v>1.26</v>
      </c>
      <c r="E70" s="12">
        <v>5</v>
      </c>
      <c r="F70" s="8">
        <v>2.04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177</v>
      </c>
      <c r="C71" s="12">
        <v>5</v>
      </c>
      <c r="D71" s="8">
        <v>1.26</v>
      </c>
      <c r="E71" s="12">
        <v>5</v>
      </c>
      <c r="F71" s="8">
        <v>2.04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161</v>
      </c>
      <c r="C72" s="12">
        <v>5</v>
      </c>
      <c r="D72" s="8">
        <v>1.26</v>
      </c>
      <c r="E72" s="12">
        <v>2</v>
      </c>
      <c r="F72" s="8">
        <v>0.82</v>
      </c>
      <c r="G72" s="12">
        <v>3</v>
      </c>
      <c r="H72" s="8">
        <v>2.1</v>
      </c>
      <c r="I72" s="12">
        <v>0</v>
      </c>
    </row>
    <row r="73" spans="2:9" ht="15" customHeight="1" x14ac:dyDescent="0.2">
      <c r="B73" t="s">
        <v>192</v>
      </c>
      <c r="C73" s="12">
        <v>5</v>
      </c>
      <c r="D73" s="8">
        <v>1.26</v>
      </c>
      <c r="E73" s="12">
        <v>5</v>
      </c>
      <c r="F73" s="8">
        <v>2.04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164</v>
      </c>
      <c r="C74" s="12">
        <v>5</v>
      </c>
      <c r="D74" s="8">
        <v>1.26</v>
      </c>
      <c r="E74" s="12">
        <v>0</v>
      </c>
      <c r="F74" s="8">
        <v>0</v>
      </c>
      <c r="G74" s="12">
        <v>5</v>
      </c>
      <c r="H74" s="8">
        <v>3.5</v>
      </c>
      <c r="I74" s="12">
        <v>0</v>
      </c>
    </row>
    <row r="75" spans="2:9" ht="15" customHeight="1" x14ac:dyDescent="0.2">
      <c r="B75" t="s">
        <v>182</v>
      </c>
      <c r="C75" s="12">
        <v>5</v>
      </c>
      <c r="D75" s="8">
        <v>1.26</v>
      </c>
      <c r="E75" s="12">
        <v>3</v>
      </c>
      <c r="F75" s="8">
        <v>1.22</v>
      </c>
      <c r="G75" s="12">
        <v>2</v>
      </c>
      <c r="H75" s="8">
        <v>1.4</v>
      </c>
      <c r="I75" s="12">
        <v>0</v>
      </c>
    </row>
    <row r="76" spans="2:9" ht="15" customHeight="1" x14ac:dyDescent="0.2">
      <c r="B76" t="s">
        <v>278</v>
      </c>
      <c r="C76" s="12">
        <v>5</v>
      </c>
      <c r="D76" s="8">
        <v>1.26</v>
      </c>
      <c r="E76" s="12">
        <v>4</v>
      </c>
      <c r="F76" s="8">
        <v>1.63</v>
      </c>
      <c r="G76" s="12">
        <v>1</v>
      </c>
      <c r="H76" s="8">
        <v>0.7</v>
      </c>
      <c r="I76" s="12">
        <v>0</v>
      </c>
    </row>
    <row r="78" spans="2:9" ht="15" customHeight="1" x14ac:dyDescent="0.2">
      <c r="B78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E5BD9-FB43-4961-9BBB-B2E8B0F0F382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358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1</v>
      </c>
      <c r="D5" s="8">
        <v>0.13</v>
      </c>
      <c r="E5" s="12">
        <v>0</v>
      </c>
      <c r="F5" s="8">
        <v>0</v>
      </c>
      <c r="G5" s="12">
        <v>1</v>
      </c>
      <c r="H5" s="8">
        <v>0.25</v>
      </c>
      <c r="I5" s="12">
        <v>0</v>
      </c>
    </row>
    <row r="6" spans="2:9" ht="15" customHeight="1" x14ac:dyDescent="0.2">
      <c r="B6" t="s">
        <v>76</v>
      </c>
      <c r="C6" s="12">
        <v>107</v>
      </c>
      <c r="D6" s="8">
        <v>13.79</v>
      </c>
      <c r="E6" s="12">
        <v>23</v>
      </c>
      <c r="F6" s="8">
        <v>6.37</v>
      </c>
      <c r="G6" s="12">
        <v>84</v>
      </c>
      <c r="H6" s="8">
        <v>20.79</v>
      </c>
      <c r="I6" s="12">
        <v>0</v>
      </c>
    </row>
    <row r="7" spans="2:9" ht="15" customHeight="1" x14ac:dyDescent="0.2">
      <c r="B7" t="s">
        <v>77</v>
      </c>
      <c r="C7" s="12">
        <v>55</v>
      </c>
      <c r="D7" s="8">
        <v>7.09</v>
      </c>
      <c r="E7" s="12">
        <v>11</v>
      </c>
      <c r="F7" s="8">
        <v>3.05</v>
      </c>
      <c r="G7" s="12">
        <v>44</v>
      </c>
      <c r="H7" s="8">
        <v>10.89</v>
      </c>
      <c r="I7" s="12">
        <v>0</v>
      </c>
    </row>
    <row r="8" spans="2:9" ht="15" customHeight="1" x14ac:dyDescent="0.2">
      <c r="B8" t="s">
        <v>78</v>
      </c>
      <c r="C8" s="12">
        <v>4</v>
      </c>
      <c r="D8" s="8">
        <v>0.52</v>
      </c>
      <c r="E8" s="12">
        <v>0</v>
      </c>
      <c r="F8" s="8">
        <v>0</v>
      </c>
      <c r="G8" s="12">
        <v>3</v>
      </c>
      <c r="H8" s="8">
        <v>0.74</v>
      </c>
      <c r="I8" s="12">
        <v>0</v>
      </c>
    </row>
    <row r="9" spans="2:9" ht="15" customHeight="1" x14ac:dyDescent="0.2">
      <c r="B9" t="s">
        <v>79</v>
      </c>
      <c r="C9" s="12">
        <v>3</v>
      </c>
      <c r="D9" s="8">
        <v>0.39</v>
      </c>
      <c r="E9" s="12">
        <v>1</v>
      </c>
      <c r="F9" s="8">
        <v>0.28000000000000003</v>
      </c>
      <c r="G9" s="12">
        <v>2</v>
      </c>
      <c r="H9" s="8">
        <v>0.5</v>
      </c>
      <c r="I9" s="12">
        <v>0</v>
      </c>
    </row>
    <row r="10" spans="2:9" ht="15" customHeight="1" x14ac:dyDescent="0.2">
      <c r="B10" t="s">
        <v>80</v>
      </c>
      <c r="C10" s="12">
        <v>26</v>
      </c>
      <c r="D10" s="8">
        <v>3.35</v>
      </c>
      <c r="E10" s="12">
        <v>1</v>
      </c>
      <c r="F10" s="8">
        <v>0.28000000000000003</v>
      </c>
      <c r="G10" s="12">
        <v>24</v>
      </c>
      <c r="H10" s="8">
        <v>5.94</v>
      </c>
      <c r="I10" s="12">
        <v>1</v>
      </c>
    </row>
    <row r="11" spans="2:9" ht="15" customHeight="1" x14ac:dyDescent="0.2">
      <c r="B11" t="s">
        <v>81</v>
      </c>
      <c r="C11" s="12">
        <v>184</v>
      </c>
      <c r="D11" s="8">
        <v>23.71</v>
      </c>
      <c r="E11" s="12">
        <v>71</v>
      </c>
      <c r="F11" s="8">
        <v>19.670000000000002</v>
      </c>
      <c r="G11" s="12">
        <v>113</v>
      </c>
      <c r="H11" s="8">
        <v>27.97</v>
      </c>
      <c r="I11" s="12">
        <v>0</v>
      </c>
    </row>
    <row r="12" spans="2:9" ht="15" customHeight="1" x14ac:dyDescent="0.2">
      <c r="B12" t="s">
        <v>82</v>
      </c>
      <c r="C12" s="12">
        <v>7</v>
      </c>
      <c r="D12" s="8">
        <v>0.9</v>
      </c>
      <c r="E12" s="12">
        <v>3</v>
      </c>
      <c r="F12" s="8">
        <v>0.83</v>
      </c>
      <c r="G12" s="12">
        <v>4</v>
      </c>
      <c r="H12" s="8">
        <v>0.99</v>
      </c>
      <c r="I12" s="12">
        <v>0</v>
      </c>
    </row>
    <row r="13" spans="2:9" ht="15" customHeight="1" x14ac:dyDescent="0.2">
      <c r="B13" t="s">
        <v>83</v>
      </c>
      <c r="C13" s="12">
        <v>56</v>
      </c>
      <c r="D13" s="8">
        <v>7.22</v>
      </c>
      <c r="E13" s="12">
        <v>14</v>
      </c>
      <c r="F13" s="8">
        <v>3.88</v>
      </c>
      <c r="G13" s="12">
        <v>42</v>
      </c>
      <c r="H13" s="8">
        <v>10.4</v>
      </c>
      <c r="I13" s="12">
        <v>0</v>
      </c>
    </row>
    <row r="14" spans="2:9" ht="15" customHeight="1" x14ac:dyDescent="0.2">
      <c r="B14" t="s">
        <v>84</v>
      </c>
      <c r="C14" s="12">
        <v>19</v>
      </c>
      <c r="D14" s="8">
        <v>2.4500000000000002</v>
      </c>
      <c r="E14" s="12">
        <v>13</v>
      </c>
      <c r="F14" s="8">
        <v>3.6</v>
      </c>
      <c r="G14" s="12">
        <v>6</v>
      </c>
      <c r="H14" s="8">
        <v>1.49</v>
      </c>
      <c r="I14" s="12">
        <v>0</v>
      </c>
    </row>
    <row r="15" spans="2:9" ht="15" customHeight="1" x14ac:dyDescent="0.2">
      <c r="B15" t="s">
        <v>85</v>
      </c>
      <c r="C15" s="12">
        <v>77</v>
      </c>
      <c r="D15" s="8">
        <v>9.92</v>
      </c>
      <c r="E15" s="12">
        <v>67</v>
      </c>
      <c r="F15" s="8">
        <v>18.559999999999999</v>
      </c>
      <c r="G15" s="12">
        <v>10</v>
      </c>
      <c r="H15" s="8">
        <v>2.48</v>
      </c>
      <c r="I15" s="12">
        <v>0</v>
      </c>
    </row>
    <row r="16" spans="2:9" ht="15" customHeight="1" x14ac:dyDescent="0.2">
      <c r="B16" t="s">
        <v>86</v>
      </c>
      <c r="C16" s="12">
        <v>104</v>
      </c>
      <c r="D16" s="8">
        <v>13.4</v>
      </c>
      <c r="E16" s="12">
        <v>84</v>
      </c>
      <c r="F16" s="8">
        <v>23.27</v>
      </c>
      <c r="G16" s="12">
        <v>19</v>
      </c>
      <c r="H16" s="8">
        <v>4.7</v>
      </c>
      <c r="I16" s="12">
        <v>0</v>
      </c>
    </row>
    <row r="17" spans="2:9" ht="15" customHeight="1" x14ac:dyDescent="0.2">
      <c r="B17" t="s">
        <v>87</v>
      </c>
      <c r="C17" s="12">
        <v>41</v>
      </c>
      <c r="D17" s="8">
        <v>5.28</v>
      </c>
      <c r="E17" s="12">
        <v>30</v>
      </c>
      <c r="F17" s="8">
        <v>8.31</v>
      </c>
      <c r="G17" s="12">
        <v>5</v>
      </c>
      <c r="H17" s="8">
        <v>1.24</v>
      </c>
      <c r="I17" s="12">
        <v>2</v>
      </c>
    </row>
    <row r="18" spans="2:9" ht="15" customHeight="1" x14ac:dyDescent="0.2">
      <c r="B18" t="s">
        <v>88</v>
      </c>
      <c r="C18" s="12">
        <v>46</v>
      </c>
      <c r="D18" s="8">
        <v>5.93</v>
      </c>
      <c r="E18" s="12">
        <v>27</v>
      </c>
      <c r="F18" s="8">
        <v>7.48</v>
      </c>
      <c r="G18" s="12">
        <v>19</v>
      </c>
      <c r="H18" s="8">
        <v>4.7</v>
      </c>
      <c r="I18" s="12">
        <v>0</v>
      </c>
    </row>
    <row r="19" spans="2:9" ht="15" customHeight="1" x14ac:dyDescent="0.2">
      <c r="B19" t="s">
        <v>89</v>
      </c>
      <c r="C19" s="12">
        <v>46</v>
      </c>
      <c r="D19" s="8">
        <v>5.93</v>
      </c>
      <c r="E19" s="12">
        <v>16</v>
      </c>
      <c r="F19" s="8">
        <v>4.43</v>
      </c>
      <c r="G19" s="12">
        <v>28</v>
      </c>
      <c r="H19" s="8">
        <v>6.93</v>
      </c>
      <c r="I19" s="12">
        <v>0</v>
      </c>
    </row>
    <row r="20" spans="2:9" ht="15" customHeight="1" x14ac:dyDescent="0.2">
      <c r="B20" s="9" t="s">
        <v>285</v>
      </c>
      <c r="C20" s="12">
        <f>SUM(LTBL_40621[総数／事業所数])</f>
        <v>776</v>
      </c>
      <c r="E20" s="12">
        <f>SUBTOTAL(109,LTBL_40621[個人／事業所数])</f>
        <v>361</v>
      </c>
      <c r="G20" s="12">
        <f>SUBTOTAL(109,LTBL_40621[法人／事業所数])</f>
        <v>404</v>
      </c>
      <c r="I20" s="12">
        <f>SUBTOTAL(109,LTBL_40621[法人以外の団体／事業所数])</f>
        <v>3</v>
      </c>
    </row>
    <row r="21" spans="2:9" ht="15" customHeight="1" x14ac:dyDescent="0.2">
      <c r="E21" s="11">
        <f>LTBL_40621[[#Totals],[個人／事業所数]]/LTBL_40621[[#Totals],[総数／事業所数]]</f>
        <v>0.46520618556701032</v>
      </c>
      <c r="G21" s="11">
        <f>LTBL_40621[[#Totals],[法人／事業所数]]/LTBL_40621[[#Totals],[総数／事業所数]]</f>
        <v>0.52061855670103097</v>
      </c>
      <c r="I21" s="11">
        <f>LTBL_40621[[#Totals],[法人以外の団体／事業所数]]/LTBL_40621[[#Totals],[総数／事業所数]]</f>
        <v>3.8659793814432991E-3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83</v>
      </c>
      <c r="D24" s="8">
        <v>10.7</v>
      </c>
      <c r="E24" s="12">
        <v>75</v>
      </c>
      <c r="F24" s="8">
        <v>20.78</v>
      </c>
      <c r="G24" s="12">
        <v>8</v>
      </c>
      <c r="H24" s="8">
        <v>1.98</v>
      </c>
      <c r="I24" s="12">
        <v>0</v>
      </c>
    </row>
    <row r="25" spans="2:9" ht="15" customHeight="1" x14ac:dyDescent="0.2">
      <c r="B25" t="s">
        <v>112</v>
      </c>
      <c r="C25" s="12">
        <v>72</v>
      </c>
      <c r="D25" s="8">
        <v>9.2799999999999994</v>
      </c>
      <c r="E25" s="12">
        <v>66</v>
      </c>
      <c r="F25" s="8">
        <v>18.28</v>
      </c>
      <c r="G25" s="12">
        <v>6</v>
      </c>
      <c r="H25" s="8">
        <v>1.49</v>
      </c>
      <c r="I25" s="12">
        <v>0</v>
      </c>
    </row>
    <row r="26" spans="2:9" ht="15" customHeight="1" x14ac:dyDescent="0.2">
      <c r="B26" t="s">
        <v>98</v>
      </c>
      <c r="C26" s="12">
        <v>57</v>
      </c>
      <c r="D26" s="8">
        <v>7.35</v>
      </c>
      <c r="E26" s="12">
        <v>11</v>
      </c>
      <c r="F26" s="8">
        <v>3.05</v>
      </c>
      <c r="G26" s="12">
        <v>46</v>
      </c>
      <c r="H26" s="8">
        <v>11.39</v>
      </c>
      <c r="I26" s="12">
        <v>0</v>
      </c>
    </row>
    <row r="27" spans="2:9" ht="15" customHeight="1" x14ac:dyDescent="0.2">
      <c r="B27" t="s">
        <v>107</v>
      </c>
      <c r="C27" s="12">
        <v>44</v>
      </c>
      <c r="D27" s="8">
        <v>5.67</v>
      </c>
      <c r="E27" s="12">
        <v>20</v>
      </c>
      <c r="F27" s="8">
        <v>5.54</v>
      </c>
      <c r="G27" s="12">
        <v>24</v>
      </c>
      <c r="H27" s="8">
        <v>5.94</v>
      </c>
      <c r="I27" s="12">
        <v>0</v>
      </c>
    </row>
    <row r="28" spans="2:9" ht="15" customHeight="1" x14ac:dyDescent="0.2">
      <c r="B28" t="s">
        <v>109</v>
      </c>
      <c r="C28" s="12">
        <v>41</v>
      </c>
      <c r="D28" s="8">
        <v>5.28</v>
      </c>
      <c r="E28" s="12">
        <v>13</v>
      </c>
      <c r="F28" s="8">
        <v>3.6</v>
      </c>
      <c r="G28" s="12">
        <v>28</v>
      </c>
      <c r="H28" s="8">
        <v>6.93</v>
      </c>
      <c r="I28" s="12">
        <v>0</v>
      </c>
    </row>
    <row r="29" spans="2:9" ht="15" customHeight="1" x14ac:dyDescent="0.2">
      <c r="B29" t="s">
        <v>114</v>
      </c>
      <c r="C29" s="12">
        <v>41</v>
      </c>
      <c r="D29" s="8">
        <v>5.28</v>
      </c>
      <c r="E29" s="12">
        <v>30</v>
      </c>
      <c r="F29" s="8">
        <v>8.31</v>
      </c>
      <c r="G29" s="12">
        <v>5</v>
      </c>
      <c r="H29" s="8">
        <v>1.24</v>
      </c>
      <c r="I29" s="12">
        <v>2</v>
      </c>
    </row>
    <row r="30" spans="2:9" ht="15" customHeight="1" x14ac:dyDescent="0.2">
      <c r="B30" t="s">
        <v>105</v>
      </c>
      <c r="C30" s="12">
        <v>38</v>
      </c>
      <c r="D30" s="8">
        <v>4.9000000000000004</v>
      </c>
      <c r="E30" s="12">
        <v>23</v>
      </c>
      <c r="F30" s="8">
        <v>6.37</v>
      </c>
      <c r="G30" s="12">
        <v>15</v>
      </c>
      <c r="H30" s="8">
        <v>3.71</v>
      </c>
      <c r="I30" s="12">
        <v>0</v>
      </c>
    </row>
    <row r="31" spans="2:9" ht="15" customHeight="1" x14ac:dyDescent="0.2">
      <c r="B31" t="s">
        <v>100</v>
      </c>
      <c r="C31" s="12">
        <v>37</v>
      </c>
      <c r="D31" s="8">
        <v>4.7699999999999996</v>
      </c>
      <c r="E31" s="12">
        <v>6</v>
      </c>
      <c r="F31" s="8">
        <v>1.66</v>
      </c>
      <c r="G31" s="12">
        <v>31</v>
      </c>
      <c r="H31" s="8">
        <v>7.67</v>
      </c>
      <c r="I31" s="12">
        <v>0</v>
      </c>
    </row>
    <row r="32" spans="2:9" ht="15" customHeight="1" x14ac:dyDescent="0.2">
      <c r="B32" t="s">
        <v>106</v>
      </c>
      <c r="C32" s="12">
        <v>34</v>
      </c>
      <c r="D32" s="8">
        <v>4.38</v>
      </c>
      <c r="E32" s="12">
        <v>18</v>
      </c>
      <c r="F32" s="8">
        <v>4.99</v>
      </c>
      <c r="G32" s="12">
        <v>16</v>
      </c>
      <c r="H32" s="8">
        <v>3.96</v>
      </c>
      <c r="I32" s="12">
        <v>0</v>
      </c>
    </row>
    <row r="33" spans="2:9" ht="15" customHeight="1" x14ac:dyDescent="0.2">
      <c r="B33" t="s">
        <v>115</v>
      </c>
      <c r="C33" s="12">
        <v>31</v>
      </c>
      <c r="D33" s="8">
        <v>3.99</v>
      </c>
      <c r="E33" s="12">
        <v>27</v>
      </c>
      <c r="F33" s="8">
        <v>7.48</v>
      </c>
      <c r="G33" s="12">
        <v>4</v>
      </c>
      <c r="H33" s="8">
        <v>0.99</v>
      </c>
      <c r="I33" s="12">
        <v>0</v>
      </c>
    </row>
    <row r="34" spans="2:9" ht="15" customHeight="1" x14ac:dyDescent="0.2">
      <c r="B34" t="s">
        <v>101</v>
      </c>
      <c r="C34" s="12">
        <v>22</v>
      </c>
      <c r="D34" s="8">
        <v>2.84</v>
      </c>
      <c r="E34" s="12">
        <v>1</v>
      </c>
      <c r="F34" s="8">
        <v>0.28000000000000003</v>
      </c>
      <c r="G34" s="12">
        <v>21</v>
      </c>
      <c r="H34" s="8">
        <v>5.2</v>
      </c>
      <c r="I34" s="12">
        <v>0</v>
      </c>
    </row>
    <row r="35" spans="2:9" ht="15" customHeight="1" x14ac:dyDescent="0.2">
      <c r="B35" t="s">
        <v>102</v>
      </c>
      <c r="C35" s="12">
        <v>22</v>
      </c>
      <c r="D35" s="8">
        <v>2.84</v>
      </c>
      <c r="E35" s="12">
        <v>2</v>
      </c>
      <c r="F35" s="8">
        <v>0.55000000000000004</v>
      </c>
      <c r="G35" s="12">
        <v>20</v>
      </c>
      <c r="H35" s="8">
        <v>4.95</v>
      </c>
      <c r="I35" s="12">
        <v>0</v>
      </c>
    </row>
    <row r="36" spans="2:9" ht="15" customHeight="1" x14ac:dyDescent="0.2">
      <c r="B36" t="s">
        <v>123</v>
      </c>
      <c r="C36" s="12">
        <v>16</v>
      </c>
      <c r="D36" s="8">
        <v>2.06</v>
      </c>
      <c r="E36" s="12">
        <v>14</v>
      </c>
      <c r="F36" s="8">
        <v>3.88</v>
      </c>
      <c r="G36" s="12">
        <v>2</v>
      </c>
      <c r="H36" s="8">
        <v>0.5</v>
      </c>
      <c r="I36" s="12">
        <v>0</v>
      </c>
    </row>
    <row r="37" spans="2:9" ht="15" customHeight="1" x14ac:dyDescent="0.2">
      <c r="B37" t="s">
        <v>116</v>
      </c>
      <c r="C37" s="12">
        <v>15</v>
      </c>
      <c r="D37" s="8">
        <v>1.93</v>
      </c>
      <c r="E37" s="12">
        <v>0</v>
      </c>
      <c r="F37" s="8">
        <v>0</v>
      </c>
      <c r="G37" s="12">
        <v>15</v>
      </c>
      <c r="H37" s="8">
        <v>3.71</v>
      </c>
      <c r="I37" s="12">
        <v>0</v>
      </c>
    </row>
    <row r="38" spans="2:9" ht="15" customHeight="1" x14ac:dyDescent="0.2">
      <c r="B38" t="s">
        <v>99</v>
      </c>
      <c r="C38" s="12">
        <v>13</v>
      </c>
      <c r="D38" s="8">
        <v>1.68</v>
      </c>
      <c r="E38" s="12">
        <v>6</v>
      </c>
      <c r="F38" s="8">
        <v>1.66</v>
      </c>
      <c r="G38" s="12">
        <v>7</v>
      </c>
      <c r="H38" s="8">
        <v>1.73</v>
      </c>
      <c r="I38" s="12">
        <v>0</v>
      </c>
    </row>
    <row r="39" spans="2:9" ht="15" customHeight="1" x14ac:dyDescent="0.2">
      <c r="B39" t="s">
        <v>137</v>
      </c>
      <c r="C39" s="12">
        <v>12</v>
      </c>
      <c r="D39" s="8">
        <v>1.55</v>
      </c>
      <c r="E39" s="12">
        <v>0</v>
      </c>
      <c r="F39" s="8">
        <v>0</v>
      </c>
      <c r="G39" s="12">
        <v>12</v>
      </c>
      <c r="H39" s="8">
        <v>2.97</v>
      </c>
      <c r="I39" s="12">
        <v>0</v>
      </c>
    </row>
    <row r="40" spans="2:9" ht="15" customHeight="1" x14ac:dyDescent="0.2">
      <c r="B40" t="s">
        <v>118</v>
      </c>
      <c r="C40" s="12">
        <v>12</v>
      </c>
      <c r="D40" s="8">
        <v>1.55</v>
      </c>
      <c r="E40" s="12">
        <v>4</v>
      </c>
      <c r="F40" s="8">
        <v>1.1100000000000001</v>
      </c>
      <c r="G40" s="12">
        <v>8</v>
      </c>
      <c r="H40" s="8">
        <v>1.98</v>
      </c>
      <c r="I40" s="12">
        <v>0</v>
      </c>
    </row>
    <row r="41" spans="2:9" ht="15" customHeight="1" x14ac:dyDescent="0.2">
      <c r="B41" t="s">
        <v>117</v>
      </c>
      <c r="C41" s="12">
        <v>11</v>
      </c>
      <c r="D41" s="8">
        <v>1.42</v>
      </c>
      <c r="E41" s="12">
        <v>0</v>
      </c>
      <c r="F41" s="8">
        <v>0</v>
      </c>
      <c r="G41" s="12">
        <v>11</v>
      </c>
      <c r="H41" s="8">
        <v>2.72</v>
      </c>
      <c r="I41" s="12">
        <v>0</v>
      </c>
    </row>
    <row r="42" spans="2:9" ht="15" customHeight="1" x14ac:dyDescent="0.2">
      <c r="B42" t="s">
        <v>120</v>
      </c>
      <c r="C42" s="12">
        <v>9</v>
      </c>
      <c r="D42" s="8">
        <v>1.1599999999999999</v>
      </c>
      <c r="E42" s="12">
        <v>0</v>
      </c>
      <c r="F42" s="8">
        <v>0</v>
      </c>
      <c r="G42" s="12">
        <v>8</v>
      </c>
      <c r="H42" s="8">
        <v>1.98</v>
      </c>
      <c r="I42" s="12">
        <v>1</v>
      </c>
    </row>
    <row r="43" spans="2:9" ht="15" customHeight="1" x14ac:dyDescent="0.2">
      <c r="B43" t="s">
        <v>108</v>
      </c>
      <c r="C43" s="12">
        <v>9</v>
      </c>
      <c r="D43" s="8">
        <v>1.1599999999999999</v>
      </c>
      <c r="E43" s="12">
        <v>0</v>
      </c>
      <c r="F43" s="8">
        <v>0</v>
      </c>
      <c r="G43" s="12">
        <v>9</v>
      </c>
      <c r="H43" s="8">
        <v>2.23</v>
      </c>
      <c r="I43" s="12">
        <v>0</v>
      </c>
    </row>
    <row r="44" spans="2:9" ht="15" customHeight="1" x14ac:dyDescent="0.2">
      <c r="B44" t="s">
        <v>110</v>
      </c>
      <c r="C44" s="12">
        <v>9</v>
      </c>
      <c r="D44" s="8">
        <v>1.1599999999999999</v>
      </c>
      <c r="E44" s="12">
        <v>7</v>
      </c>
      <c r="F44" s="8">
        <v>1.94</v>
      </c>
      <c r="G44" s="12">
        <v>2</v>
      </c>
      <c r="H44" s="8">
        <v>0.5</v>
      </c>
      <c r="I44" s="12">
        <v>0</v>
      </c>
    </row>
    <row r="45" spans="2:9" ht="15" customHeight="1" x14ac:dyDescent="0.2">
      <c r="B45" t="s">
        <v>111</v>
      </c>
      <c r="C45" s="12">
        <v>9</v>
      </c>
      <c r="D45" s="8">
        <v>1.1599999999999999</v>
      </c>
      <c r="E45" s="12">
        <v>6</v>
      </c>
      <c r="F45" s="8">
        <v>1.66</v>
      </c>
      <c r="G45" s="12">
        <v>3</v>
      </c>
      <c r="H45" s="8">
        <v>0.74</v>
      </c>
      <c r="I45" s="12">
        <v>0</v>
      </c>
    </row>
    <row r="46" spans="2:9" ht="15" customHeight="1" x14ac:dyDescent="0.2">
      <c r="B46" t="s">
        <v>127</v>
      </c>
      <c r="C46" s="12">
        <v>9</v>
      </c>
      <c r="D46" s="8">
        <v>1.1599999999999999</v>
      </c>
      <c r="E46" s="12">
        <v>5</v>
      </c>
      <c r="F46" s="8">
        <v>1.39</v>
      </c>
      <c r="G46" s="12">
        <v>3</v>
      </c>
      <c r="H46" s="8">
        <v>0.74</v>
      </c>
      <c r="I46" s="12">
        <v>0</v>
      </c>
    </row>
    <row r="49" spans="2:9" ht="33" customHeight="1" x14ac:dyDescent="0.2">
      <c r="B49" t="s">
        <v>287</v>
      </c>
      <c r="C49" s="10" t="s">
        <v>91</v>
      </c>
      <c r="D49" s="10" t="s">
        <v>92</v>
      </c>
      <c r="E49" s="10" t="s">
        <v>93</v>
      </c>
      <c r="F49" s="10" t="s">
        <v>94</v>
      </c>
      <c r="G49" s="10" t="s">
        <v>95</v>
      </c>
      <c r="H49" s="10" t="s">
        <v>96</v>
      </c>
      <c r="I49" s="10" t="s">
        <v>97</v>
      </c>
    </row>
    <row r="50" spans="2:9" ht="15" customHeight="1" x14ac:dyDescent="0.2">
      <c r="B50" t="s">
        <v>170</v>
      </c>
      <c r="C50" s="12">
        <v>45</v>
      </c>
      <c r="D50" s="8">
        <v>5.8</v>
      </c>
      <c r="E50" s="12">
        <v>45</v>
      </c>
      <c r="F50" s="8">
        <v>12.47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154</v>
      </c>
      <c r="C51" s="12">
        <v>33</v>
      </c>
      <c r="D51" s="8">
        <v>4.25</v>
      </c>
      <c r="E51" s="12">
        <v>3</v>
      </c>
      <c r="F51" s="8">
        <v>0.83</v>
      </c>
      <c r="G51" s="12">
        <v>30</v>
      </c>
      <c r="H51" s="8">
        <v>7.43</v>
      </c>
      <c r="I51" s="12">
        <v>0</v>
      </c>
    </row>
    <row r="52" spans="2:9" ht="15" customHeight="1" x14ac:dyDescent="0.2">
      <c r="B52" t="s">
        <v>159</v>
      </c>
      <c r="C52" s="12">
        <v>28</v>
      </c>
      <c r="D52" s="8">
        <v>3.61</v>
      </c>
      <c r="E52" s="12">
        <v>14</v>
      </c>
      <c r="F52" s="8">
        <v>3.88</v>
      </c>
      <c r="G52" s="12">
        <v>14</v>
      </c>
      <c r="H52" s="8">
        <v>3.47</v>
      </c>
      <c r="I52" s="12">
        <v>0</v>
      </c>
    </row>
    <row r="53" spans="2:9" ht="15" customHeight="1" x14ac:dyDescent="0.2">
      <c r="B53" t="s">
        <v>164</v>
      </c>
      <c r="C53" s="12">
        <v>28</v>
      </c>
      <c r="D53" s="8">
        <v>3.61</v>
      </c>
      <c r="E53" s="12">
        <v>11</v>
      </c>
      <c r="F53" s="8">
        <v>3.05</v>
      </c>
      <c r="G53" s="12">
        <v>17</v>
      </c>
      <c r="H53" s="8">
        <v>4.21</v>
      </c>
      <c r="I53" s="12">
        <v>0</v>
      </c>
    </row>
    <row r="54" spans="2:9" ht="15" customHeight="1" x14ac:dyDescent="0.2">
      <c r="B54" t="s">
        <v>169</v>
      </c>
      <c r="C54" s="12">
        <v>24</v>
      </c>
      <c r="D54" s="8">
        <v>3.09</v>
      </c>
      <c r="E54" s="12">
        <v>24</v>
      </c>
      <c r="F54" s="8">
        <v>6.65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172</v>
      </c>
      <c r="C55" s="12">
        <v>21</v>
      </c>
      <c r="D55" s="8">
        <v>2.71</v>
      </c>
      <c r="E55" s="12">
        <v>19</v>
      </c>
      <c r="F55" s="8">
        <v>5.26</v>
      </c>
      <c r="G55" s="12">
        <v>2</v>
      </c>
      <c r="H55" s="8">
        <v>0.5</v>
      </c>
      <c r="I55" s="12">
        <v>0</v>
      </c>
    </row>
    <row r="56" spans="2:9" ht="15" customHeight="1" x14ac:dyDescent="0.2">
      <c r="B56" t="s">
        <v>158</v>
      </c>
      <c r="C56" s="12">
        <v>20</v>
      </c>
      <c r="D56" s="8">
        <v>2.58</v>
      </c>
      <c r="E56" s="12">
        <v>12</v>
      </c>
      <c r="F56" s="8">
        <v>3.32</v>
      </c>
      <c r="G56" s="12">
        <v>8</v>
      </c>
      <c r="H56" s="8">
        <v>1.98</v>
      </c>
      <c r="I56" s="12">
        <v>0</v>
      </c>
    </row>
    <row r="57" spans="2:9" ht="15" customHeight="1" x14ac:dyDescent="0.2">
      <c r="B57" t="s">
        <v>171</v>
      </c>
      <c r="C57" s="12">
        <v>20</v>
      </c>
      <c r="D57" s="8">
        <v>2.58</v>
      </c>
      <c r="E57" s="12">
        <v>19</v>
      </c>
      <c r="F57" s="8">
        <v>5.26</v>
      </c>
      <c r="G57" s="12">
        <v>0</v>
      </c>
      <c r="H57" s="8">
        <v>0</v>
      </c>
      <c r="I57" s="12">
        <v>1</v>
      </c>
    </row>
    <row r="58" spans="2:9" ht="15" customHeight="1" x14ac:dyDescent="0.2">
      <c r="B58" t="s">
        <v>156</v>
      </c>
      <c r="C58" s="12">
        <v>19</v>
      </c>
      <c r="D58" s="8">
        <v>2.4500000000000002</v>
      </c>
      <c r="E58" s="12">
        <v>5</v>
      </c>
      <c r="F58" s="8">
        <v>1.39</v>
      </c>
      <c r="G58" s="12">
        <v>14</v>
      </c>
      <c r="H58" s="8">
        <v>3.47</v>
      </c>
      <c r="I58" s="12">
        <v>0</v>
      </c>
    </row>
    <row r="59" spans="2:9" ht="15" customHeight="1" x14ac:dyDescent="0.2">
      <c r="B59" t="s">
        <v>168</v>
      </c>
      <c r="C59" s="12">
        <v>19</v>
      </c>
      <c r="D59" s="8">
        <v>2.4500000000000002</v>
      </c>
      <c r="E59" s="12">
        <v>19</v>
      </c>
      <c r="F59" s="8">
        <v>5.26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173</v>
      </c>
      <c r="C60" s="12">
        <v>16</v>
      </c>
      <c r="D60" s="8">
        <v>2.06</v>
      </c>
      <c r="E60" s="12">
        <v>14</v>
      </c>
      <c r="F60" s="8">
        <v>3.88</v>
      </c>
      <c r="G60" s="12">
        <v>2</v>
      </c>
      <c r="H60" s="8">
        <v>0.5</v>
      </c>
      <c r="I60" s="12">
        <v>0</v>
      </c>
    </row>
    <row r="61" spans="2:9" ht="15" customHeight="1" x14ac:dyDescent="0.2">
      <c r="B61" t="s">
        <v>220</v>
      </c>
      <c r="C61" s="12">
        <v>15</v>
      </c>
      <c r="D61" s="8">
        <v>1.93</v>
      </c>
      <c r="E61" s="12">
        <v>11</v>
      </c>
      <c r="F61" s="8">
        <v>3.05</v>
      </c>
      <c r="G61" s="12">
        <v>4</v>
      </c>
      <c r="H61" s="8">
        <v>0.99</v>
      </c>
      <c r="I61" s="12">
        <v>0</v>
      </c>
    </row>
    <row r="62" spans="2:9" ht="15" customHeight="1" x14ac:dyDescent="0.2">
      <c r="B62" t="s">
        <v>160</v>
      </c>
      <c r="C62" s="12">
        <v>14</v>
      </c>
      <c r="D62" s="8">
        <v>1.8</v>
      </c>
      <c r="E62" s="12">
        <v>2</v>
      </c>
      <c r="F62" s="8">
        <v>0.55000000000000004</v>
      </c>
      <c r="G62" s="12">
        <v>12</v>
      </c>
      <c r="H62" s="8">
        <v>2.97</v>
      </c>
      <c r="I62" s="12">
        <v>0</v>
      </c>
    </row>
    <row r="63" spans="2:9" ht="15" customHeight="1" x14ac:dyDescent="0.2">
      <c r="B63" t="s">
        <v>166</v>
      </c>
      <c r="C63" s="12">
        <v>14</v>
      </c>
      <c r="D63" s="8">
        <v>1.8</v>
      </c>
      <c r="E63" s="12">
        <v>13</v>
      </c>
      <c r="F63" s="8">
        <v>3.6</v>
      </c>
      <c r="G63" s="12">
        <v>1</v>
      </c>
      <c r="H63" s="8">
        <v>0.25</v>
      </c>
      <c r="I63" s="12">
        <v>0</v>
      </c>
    </row>
    <row r="64" spans="2:9" ht="15" customHeight="1" x14ac:dyDescent="0.2">
      <c r="B64" t="s">
        <v>161</v>
      </c>
      <c r="C64" s="12">
        <v>13</v>
      </c>
      <c r="D64" s="8">
        <v>1.68</v>
      </c>
      <c r="E64" s="12">
        <v>11</v>
      </c>
      <c r="F64" s="8">
        <v>3.05</v>
      </c>
      <c r="G64" s="12">
        <v>2</v>
      </c>
      <c r="H64" s="8">
        <v>0.5</v>
      </c>
      <c r="I64" s="12">
        <v>0</v>
      </c>
    </row>
    <row r="65" spans="2:9" ht="15" customHeight="1" x14ac:dyDescent="0.2">
      <c r="B65" t="s">
        <v>155</v>
      </c>
      <c r="C65" s="12">
        <v>12</v>
      </c>
      <c r="D65" s="8">
        <v>1.55</v>
      </c>
      <c r="E65" s="12">
        <v>5</v>
      </c>
      <c r="F65" s="8">
        <v>1.39</v>
      </c>
      <c r="G65" s="12">
        <v>7</v>
      </c>
      <c r="H65" s="8">
        <v>1.73</v>
      </c>
      <c r="I65" s="12">
        <v>0</v>
      </c>
    </row>
    <row r="66" spans="2:9" ht="15" customHeight="1" x14ac:dyDescent="0.2">
      <c r="B66" t="s">
        <v>167</v>
      </c>
      <c r="C66" s="12">
        <v>12</v>
      </c>
      <c r="D66" s="8">
        <v>1.55</v>
      </c>
      <c r="E66" s="12">
        <v>12</v>
      </c>
      <c r="F66" s="8">
        <v>3.32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179</v>
      </c>
      <c r="C67" s="12">
        <v>12</v>
      </c>
      <c r="D67" s="8">
        <v>1.55</v>
      </c>
      <c r="E67" s="12">
        <v>10</v>
      </c>
      <c r="F67" s="8">
        <v>2.77</v>
      </c>
      <c r="G67" s="12">
        <v>2</v>
      </c>
      <c r="H67" s="8">
        <v>0.5</v>
      </c>
      <c r="I67" s="12">
        <v>0</v>
      </c>
    </row>
    <row r="68" spans="2:9" ht="15" customHeight="1" x14ac:dyDescent="0.2">
      <c r="B68" t="s">
        <v>224</v>
      </c>
      <c r="C68" s="12">
        <v>11</v>
      </c>
      <c r="D68" s="8">
        <v>1.42</v>
      </c>
      <c r="E68" s="12">
        <v>0</v>
      </c>
      <c r="F68" s="8">
        <v>0</v>
      </c>
      <c r="G68" s="12">
        <v>11</v>
      </c>
      <c r="H68" s="8">
        <v>2.72</v>
      </c>
      <c r="I68" s="12">
        <v>0</v>
      </c>
    </row>
    <row r="69" spans="2:9" ht="15" customHeight="1" x14ac:dyDescent="0.2">
      <c r="B69" t="s">
        <v>182</v>
      </c>
      <c r="C69" s="12">
        <v>10</v>
      </c>
      <c r="D69" s="8">
        <v>1.29</v>
      </c>
      <c r="E69" s="12">
        <v>4</v>
      </c>
      <c r="F69" s="8">
        <v>1.1100000000000001</v>
      </c>
      <c r="G69" s="12">
        <v>6</v>
      </c>
      <c r="H69" s="8">
        <v>1.49</v>
      </c>
      <c r="I69" s="12">
        <v>0</v>
      </c>
    </row>
    <row r="71" spans="2:9" ht="15" customHeight="1" x14ac:dyDescent="0.2">
      <c r="B71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7B61F-B7C2-4026-B799-1881B06BB6B5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359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1</v>
      </c>
      <c r="D5" s="8">
        <v>0.26</v>
      </c>
      <c r="E5" s="12">
        <v>0</v>
      </c>
      <c r="F5" s="8">
        <v>0</v>
      </c>
      <c r="G5" s="12">
        <v>1</v>
      </c>
      <c r="H5" s="8">
        <v>0.72</v>
      </c>
      <c r="I5" s="12">
        <v>0</v>
      </c>
    </row>
    <row r="6" spans="2:9" ht="15" customHeight="1" x14ac:dyDescent="0.2">
      <c r="B6" t="s">
        <v>76</v>
      </c>
      <c r="C6" s="12">
        <v>95</v>
      </c>
      <c r="D6" s="8">
        <v>25.07</v>
      </c>
      <c r="E6" s="12">
        <v>41</v>
      </c>
      <c r="F6" s="8">
        <v>18.059999999999999</v>
      </c>
      <c r="G6" s="12">
        <v>54</v>
      </c>
      <c r="H6" s="8">
        <v>39.130000000000003</v>
      </c>
      <c r="I6" s="12">
        <v>0</v>
      </c>
    </row>
    <row r="7" spans="2:9" ht="15" customHeight="1" x14ac:dyDescent="0.2">
      <c r="B7" t="s">
        <v>77</v>
      </c>
      <c r="C7" s="12">
        <v>33</v>
      </c>
      <c r="D7" s="8">
        <v>8.7100000000000009</v>
      </c>
      <c r="E7" s="12">
        <v>14</v>
      </c>
      <c r="F7" s="8">
        <v>6.17</v>
      </c>
      <c r="G7" s="12">
        <v>19</v>
      </c>
      <c r="H7" s="8">
        <v>13.77</v>
      </c>
      <c r="I7" s="12">
        <v>0</v>
      </c>
    </row>
    <row r="8" spans="2:9" ht="15" customHeight="1" x14ac:dyDescent="0.2">
      <c r="B8" t="s">
        <v>78</v>
      </c>
      <c r="C8" s="12">
        <v>2</v>
      </c>
      <c r="D8" s="8">
        <v>0.53</v>
      </c>
      <c r="E8" s="12">
        <v>0</v>
      </c>
      <c r="F8" s="8">
        <v>0</v>
      </c>
      <c r="G8" s="12">
        <v>2</v>
      </c>
      <c r="H8" s="8">
        <v>1.45</v>
      </c>
      <c r="I8" s="12">
        <v>0</v>
      </c>
    </row>
    <row r="9" spans="2:9" ht="15" customHeight="1" x14ac:dyDescent="0.2">
      <c r="B9" t="s">
        <v>79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80</v>
      </c>
      <c r="C10" s="12">
        <v>3</v>
      </c>
      <c r="D10" s="8">
        <v>0.79</v>
      </c>
      <c r="E10" s="12">
        <v>0</v>
      </c>
      <c r="F10" s="8">
        <v>0</v>
      </c>
      <c r="G10" s="12">
        <v>3</v>
      </c>
      <c r="H10" s="8">
        <v>2.17</v>
      </c>
      <c r="I10" s="12">
        <v>0</v>
      </c>
    </row>
    <row r="11" spans="2:9" ht="15" customHeight="1" x14ac:dyDescent="0.2">
      <c r="B11" t="s">
        <v>81</v>
      </c>
      <c r="C11" s="12">
        <v>80</v>
      </c>
      <c r="D11" s="8">
        <v>21.11</v>
      </c>
      <c r="E11" s="12">
        <v>61</v>
      </c>
      <c r="F11" s="8">
        <v>26.87</v>
      </c>
      <c r="G11" s="12">
        <v>19</v>
      </c>
      <c r="H11" s="8">
        <v>13.77</v>
      </c>
      <c r="I11" s="12">
        <v>0</v>
      </c>
    </row>
    <row r="12" spans="2:9" ht="15" customHeight="1" x14ac:dyDescent="0.2">
      <c r="B12" t="s">
        <v>82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83</v>
      </c>
      <c r="C13" s="12">
        <v>7</v>
      </c>
      <c r="D13" s="8">
        <v>1.85</v>
      </c>
      <c r="E13" s="12">
        <v>1</v>
      </c>
      <c r="F13" s="8">
        <v>0.44</v>
      </c>
      <c r="G13" s="12">
        <v>6</v>
      </c>
      <c r="H13" s="8">
        <v>4.3499999999999996</v>
      </c>
      <c r="I13" s="12">
        <v>0</v>
      </c>
    </row>
    <row r="14" spans="2:9" ht="15" customHeight="1" x14ac:dyDescent="0.2">
      <c r="B14" t="s">
        <v>84</v>
      </c>
      <c r="C14" s="12">
        <v>19</v>
      </c>
      <c r="D14" s="8">
        <v>5.01</v>
      </c>
      <c r="E14" s="12">
        <v>7</v>
      </c>
      <c r="F14" s="8">
        <v>3.08</v>
      </c>
      <c r="G14" s="12">
        <v>12</v>
      </c>
      <c r="H14" s="8">
        <v>8.6999999999999993</v>
      </c>
      <c r="I14" s="12">
        <v>0</v>
      </c>
    </row>
    <row r="15" spans="2:9" ht="15" customHeight="1" x14ac:dyDescent="0.2">
      <c r="B15" t="s">
        <v>85</v>
      </c>
      <c r="C15" s="12">
        <v>30</v>
      </c>
      <c r="D15" s="8">
        <v>7.92</v>
      </c>
      <c r="E15" s="12">
        <v>25</v>
      </c>
      <c r="F15" s="8">
        <v>11.01</v>
      </c>
      <c r="G15" s="12">
        <v>5</v>
      </c>
      <c r="H15" s="8">
        <v>3.62</v>
      </c>
      <c r="I15" s="12">
        <v>0</v>
      </c>
    </row>
    <row r="16" spans="2:9" ht="15" customHeight="1" x14ac:dyDescent="0.2">
      <c r="B16" t="s">
        <v>86</v>
      </c>
      <c r="C16" s="12">
        <v>60</v>
      </c>
      <c r="D16" s="8">
        <v>15.83</v>
      </c>
      <c r="E16" s="12">
        <v>50</v>
      </c>
      <c r="F16" s="8">
        <v>22.03</v>
      </c>
      <c r="G16" s="12">
        <v>4</v>
      </c>
      <c r="H16" s="8">
        <v>2.9</v>
      </c>
      <c r="I16" s="12">
        <v>0</v>
      </c>
    </row>
    <row r="17" spans="2:9" ht="15" customHeight="1" x14ac:dyDescent="0.2">
      <c r="B17" t="s">
        <v>87</v>
      </c>
      <c r="C17" s="12">
        <v>15</v>
      </c>
      <c r="D17" s="8">
        <v>3.96</v>
      </c>
      <c r="E17" s="12">
        <v>9</v>
      </c>
      <c r="F17" s="8">
        <v>3.96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88</v>
      </c>
      <c r="C18" s="12">
        <v>24</v>
      </c>
      <c r="D18" s="8">
        <v>6.33</v>
      </c>
      <c r="E18" s="12">
        <v>12</v>
      </c>
      <c r="F18" s="8">
        <v>5.29</v>
      </c>
      <c r="G18" s="12">
        <v>11</v>
      </c>
      <c r="H18" s="8">
        <v>7.97</v>
      </c>
      <c r="I18" s="12">
        <v>0</v>
      </c>
    </row>
    <row r="19" spans="2:9" ht="15" customHeight="1" x14ac:dyDescent="0.2">
      <c r="B19" t="s">
        <v>89</v>
      </c>
      <c r="C19" s="12">
        <v>10</v>
      </c>
      <c r="D19" s="8">
        <v>2.64</v>
      </c>
      <c r="E19" s="12">
        <v>7</v>
      </c>
      <c r="F19" s="8">
        <v>3.08</v>
      </c>
      <c r="G19" s="12">
        <v>2</v>
      </c>
      <c r="H19" s="8">
        <v>1.45</v>
      </c>
      <c r="I19" s="12">
        <v>0</v>
      </c>
    </row>
    <row r="20" spans="2:9" ht="15" customHeight="1" x14ac:dyDescent="0.2">
      <c r="B20" s="9" t="s">
        <v>285</v>
      </c>
      <c r="C20" s="12">
        <f>SUM(LTBL_40625[総数／事業所数])</f>
        <v>379</v>
      </c>
      <c r="E20" s="12">
        <f>SUBTOTAL(109,LTBL_40625[個人／事業所数])</f>
        <v>227</v>
      </c>
      <c r="G20" s="12">
        <f>SUBTOTAL(109,LTBL_40625[法人／事業所数])</f>
        <v>138</v>
      </c>
      <c r="I20" s="12">
        <f>SUBTOTAL(109,LTBL_40625[法人以外の団体／事業所数])</f>
        <v>0</v>
      </c>
    </row>
    <row r="21" spans="2:9" ht="15" customHeight="1" x14ac:dyDescent="0.2">
      <c r="E21" s="11">
        <f>LTBL_40625[[#Totals],[個人／事業所数]]/LTBL_40625[[#Totals],[総数／事業所数]]</f>
        <v>0.59894459102902375</v>
      </c>
      <c r="G21" s="11">
        <f>LTBL_40625[[#Totals],[法人／事業所数]]/LTBL_40625[[#Totals],[総数／事業所数]]</f>
        <v>0.36411609498680741</v>
      </c>
      <c r="I21" s="11">
        <f>LTBL_40625[[#Totals],[法人以外の団体／事業所数]]/LTBL_40625[[#Totals],[総数／事業所数]]</f>
        <v>0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98</v>
      </c>
      <c r="C24" s="12">
        <v>68</v>
      </c>
      <c r="D24" s="8">
        <v>17.940000000000001</v>
      </c>
      <c r="E24" s="12">
        <v>28</v>
      </c>
      <c r="F24" s="8">
        <v>12.33</v>
      </c>
      <c r="G24" s="12">
        <v>40</v>
      </c>
      <c r="H24" s="8">
        <v>28.99</v>
      </c>
      <c r="I24" s="12">
        <v>0</v>
      </c>
    </row>
    <row r="25" spans="2:9" ht="15" customHeight="1" x14ac:dyDescent="0.2">
      <c r="B25" t="s">
        <v>113</v>
      </c>
      <c r="C25" s="12">
        <v>46</v>
      </c>
      <c r="D25" s="8">
        <v>12.14</v>
      </c>
      <c r="E25" s="12">
        <v>45</v>
      </c>
      <c r="F25" s="8">
        <v>19.82</v>
      </c>
      <c r="G25" s="12">
        <v>1</v>
      </c>
      <c r="H25" s="8">
        <v>0.72</v>
      </c>
      <c r="I25" s="12">
        <v>0</v>
      </c>
    </row>
    <row r="26" spans="2:9" ht="15" customHeight="1" x14ac:dyDescent="0.2">
      <c r="B26" t="s">
        <v>105</v>
      </c>
      <c r="C26" s="12">
        <v>33</v>
      </c>
      <c r="D26" s="8">
        <v>8.7100000000000009</v>
      </c>
      <c r="E26" s="12">
        <v>27</v>
      </c>
      <c r="F26" s="8">
        <v>11.89</v>
      </c>
      <c r="G26" s="12">
        <v>6</v>
      </c>
      <c r="H26" s="8">
        <v>4.3499999999999996</v>
      </c>
      <c r="I26" s="12">
        <v>0</v>
      </c>
    </row>
    <row r="27" spans="2:9" ht="15" customHeight="1" x14ac:dyDescent="0.2">
      <c r="B27" t="s">
        <v>112</v>
      </c>
      <c r="C27" s="12">
        <v>21</v>
      </c>
      <c r="D27" s="8">
        <v>5.54</v>
      </c>
      <c r="E27" s="12">
        <v>19</v>
      </c>
      <c r="F27" s="8">
        <v>8.3699999999999992</v>
      </c>
      <c r="G27" s="12">
        <v>2</v>
      </c>
      <c r="H27" s="8">
        <v>1.45</v>
      </c>
      <c r="I27" s="12">
        <v>0</v>
      </c>
    </row>
    <row r="28" spans="2:9" ht="15" customHeight="1" x14ac:dyDescent="0.2">
      <c r="B28" t="s">
        <v>107</v>
      </c>
      <c r="C28" s="12">
        <v>16</v>
      </c>
      <c r="D28" s="8">
        <v>4.22</v>
      </c>
      <c r="E28" s="12">
        <v>12</v>
      </c>
      <c r="F28" s="8">
        <v>5.29</v>
      </c>
      <c r="G28" s="12">
        <v>4</v>
      </c>
      <c r="H28" s="8">
        <v>2.9</v>
      </c>
      <c r="I28" s="12">
        <v>0</v>
      </c>
    </row>
    <row r="29" spans="2:9" ht="15" customHeight="1" x14ac:dyDescent="0.2">
      <c r="B29" t="s">
        <v>111</v>
      </c>
      <c r="C29" s="12">
        <v>16</v>
      </c>
      <c r="D29" s="8">
        <v>4.22</v>
      </c>
      <c r="E29" s="12">
        <v>6</v>
      </c>
      <c r="F29" s="8">
        <v>2.64</v>
      </c>
      <c r="G29" s="12">
        <v>10</v>
      </c>
      <c r="H29" s="8">
        <v>7.25</v>
      </c>
      <c r="I29" s="12">
        <v>0</v>
      </c>
    </row>
    <row r="30" spans="2:9" ht="15" customHeight="1" x14ac:dyDescent="0.2">
      <c r="B30" t="s">
        <v>114</v>
      </c>
      <c r="C30" s="12">
        <v>15</v>
      </c>
      <c r="D30" s="8">
        <v>3.96</v>
      </c>
      <c r="E30" s="12">
        <v>9</v>
      </c>
      <c r="F30" s="8">
        <v>3.96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100</v>
      </c>
      <c r="C31" s="12">
        <v>14</v>
      </c>
      <c r="D31" s="8">
        <v>3.69</v>
      </c>
      <c r="E31" s="12">
        <v>8</v>
      </c>
      <c r="F31" s="8">
        <v>3.52</v>
      </c>
      <c r="G31" s="12">
        <v>6</v>
      </c>
      <c r="H31" s="8">
        <v>4.3499999999999996</v>
      </c>
      <c r="I31" s="12">
        <v>0</v>
      </c>
    </row>
    <row r="32" spans="2:9" ht="15" customHeight="1" x14ac:dyDescent="0.2">
      <c r="B32" t="s">
        <v>115</v>
      </c>
      <c r="C32" s="12">
        <v>14</v>
      </c>
      <c r="D32" s="8">
        <v>3.69</v>
      </c>
      <c r="E32" s="12">
        <v>12</v>
      </c>
      <c r="F32" s="8">
        <v>5.29</v>
      </c>
      <c r="G32" s="12">
        <v>2</v>
      </c>
      <c r="H32" s="8">
        <v>1.45</v>
      </c>
      <c r="I32" s="12">
        <v>0</v>
      </c>
    </row>
    <row r="33" spans="2:9" ht="15" customHeight="1" x14ac:dyDescent="0.2">
      <c r="B33" t="s">
        <v>99</v>
      </c>
      <c r="C33" s="12">
        <v>13</v>
      </c>
      <c r="D33" s="8">
        <v>3.43</v>
      </c>
      <c r="E33" s="12">
        <v>5</v>
      </c>
      <c r="F33" s="8">
        <v>2.2000000000000002</v>
      </c>
      <c r="G33" s="12">
        <v>8</v>
      </c>
      <c r="H33" s="8">
        <v>5.8</v>
      </c>
      <c r="I33" s="12">
        <v>0</v>
      </c>
    </row>
    <row r="34" spans="2:9" ht="15" customHeight="1" x14ac:dyDescent="0.2">
      <c r="B34" t="s">
        <v>106</v>
      </c>
      <c r="C34" s="12">
        <v>13</v>
      </c>
      <c r="D34" s="8">
        <v>3.43</v>
      </c>
      <c r="E34" s="12">
        <v>11</v>
      </c>
      <c r="F34" s="8">
        <v>4.8499999999999996</v>
      </c>
      <c r="G34" s="12">
        <v>2</v>
      </c>
      <c r="H34" s="8">
        <v>1.45</v>
      </c>
      <c r="I34" s="12">
        <v>0</v>
      </c>
    </row>
    <row r="35" spans="2:9" ht="15" customHeight="1" x14ac:dyDescent="0.2">
      <c r="B35" t="s">
        <v>116</v>
      </c>
      <c r="C35" s="12">
        <v>10</v>
      </c>
      <c r="D35" s="8">
        <v>2.64</v>
      </c>
      <c r="E35" s="12">
        <v>0</v>
      </c>
      <c r="F35" s="8">
        <v>0</v>
      </c>
      <c r="G35" s="12">
        <v>9</v>
      </c>
      <c r="H35" s="8">
        <v>6.52</v>
      </c>
      <c r="I35" s="12">
        <v>0</v>
      </c>
    </row>
    <row r="36" spans="2:9" ht="15" customHeight="1" x14ac:dyDescent="0.2">
      <c r="B36" t="s">
        <v>121</v>
      </c>
      <c r="C36" s="12">
        <v>8</v>
      </c>
      <c r="D36" s="8">
        <v>2.11</v>
      </c>
      <c r="E36" s="12">
        <v>6</v>
      </c>
      <c r="F36" s="8">
        <v>2.64</v>
      </c>
      <c r="G36" s="12">
        <v>2</v>
      </c>
      <c r="H36" s="8">
        <v>1.45</v>
      </c>
      <c r="I36" s="12">
        <v>0</v>
      </c>
    </row>
    <row r="37" spans="2:9" ht="15" customHeight="1" x14ac:dyDescent="0.2">
      <c r="B37" t="s">
        <v>127</v>
      </c>
      <c r="C37" s="12">
        <v>8</v>
      </c>
      <c r="D37" s="8">
        <v>2.11</v>
      </c>
      <c r="E37" s="12">
        <v>2</v>
      </c>
      <c r="F37" s="8">
        <v>0.88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123</v>
      </c>
      <c r="C38" s="12">
        <v>7</v>
      </c>
      <c r="D38" s="8">
        <v>1.85</v>
      </c>
      <c r="E38" s="12">
        <v>7</v>
      </c>
      <c r="F38" s="8">
        <v>3.08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101</v>
      </c>
      <c r="C39" s="12">
        <v>6</v>
      </c>
      <c r="D39" s="8">
        <v>1.58</v>
      </c>
      <c r="E39" s="12">
        <v>1</v>
      </c>
      <c r="F39" s="8">
        <v>0.44</v>
      </c>
      <c r="G39" s="12">
        <v>5</v>
      </c>
      <c r="H39" s="8">
        <v>3.62</v>
      </c>
      <c r="I39" s="12">
        <v>0</v>
      </c>
    </row>
    <row r="40" spans="2:9" ht="15" customHeight="1" x14ac:dyDescent="0.2">
      <c r="B40" t="s">
        <v>118</v>
      </c>
      <c r="C40" s="12">
        <v>6</v>
      </c>
      <c r="D40" s="8">
        <v>1.58</v>
      </c>
      <c r="E40" s="12">
        <v>3</v>
      </c>
      <c r="F40" s="8">
        <v>1.32</v>
      </c>
      <c r="G40" s="12">
        <v>3</v>
      </c>
      <c r="H40" s="8">
        <v>2.17</v>
      </c>
      <c r="I40" s="12">
        <v>0</v>
      </c>
    </row>
    <row r="41" spans="2:9" ht="15" customHeight="1" x14ac:dyDescent="0.2">
      <c r="B41" t="s">
        <v>119</v>
      </c>
      <c r="C41" s="12">
        <v>5</v>
      </c>
      <c r="D41" s="8">
        <v>1.32</v>
      </c>
      <c r="E41" s="12">
        <v>2</v>
      </c>
      <c r="F41" s="8">
        <v>0.88</v>
      </c>
      <c r="G41" s="12">
        <v>3</v>
      </c>
      <c r="H41" s="8">
        <v>2.17</v>
      </c>
      <c r="I41" s="12">
        <v>0</v>
      </c>
    </row>
    <row r="42" spans="2:9" ht="15" customHeight="1" x14ac:dyDescent="0.2">
      <c r="B42" t="s">
        <v>104</v>
      </c>
      <c r="C42" s="12">
        <v>5</v>
      </c>
      <c r="D42" s="8">
        <v>1.32</v>
      </c>
      <c r="E42" s="12">
        <v>5</v>
      </c>
      <c r="F42" s="8">
        <v>2.2000000000000002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135</v>
      </c>
      <c r="C43" s="12">
        <v>4</v>
      </c>
      <c r="D43" s="8">
        <v>1.06</v>
      </c>
      <c r="E43" s="12">
        <v>2</v>
      </c>
      <c r="F43" s="8">
        <v>0.88</v>
      </c>
      <c r="G43" s="12">
        <v>2</v>
      </c>
      <c r="H43" s="8">
        <v>1.45</v>
      </c>
      <c r="I43" s="12">
        <v>0</v>
      </c>
    </row>
    <row r="44" spans="2:9" ht="15" customHeight="1" x14ac:dyDescent="0.2">
      <c r="B44" t="s">
        <v>129</v>
      </c>
      <c r="C44" s="12">
        <v>4</v>
      </c>
      <c r="D44" s="8">
        <v>1.06</v>
      </c>
      <c r="E44" s="12">
        <v>1</v>
      </c>
      <c r="F44" s="8">
        <v>0.44</v>
      </c>
      <c r="G44" s="12">
        <v>3</v>
      </c>
      <c r="H44" s="8">
        <v>2.17</v>
      </c>
      <c r="I44" s="12">
        <v>0</v>
      </c>
    </row>
    <row r="47" spans="2:9" ht="33" customHeight="1" x14ac:dyDescent="0.2">
      <c r="B47" t="s">
        <v>287</v>
      </c>
      <c r="C47" s="10" t="s">
        <v>91</v>
      </c>
      <c r="D47" s="10" t="s">
        <v>92</v>
      </c>
      <c r="E47" s="10" t="s">
        <v>93</v>
      </c>
      <c r="F47" s="10" t="s">
        <v>94</v>
      </c>
      <c r="G47" s="10" t="s">
        <v>95</v>
      </c>
      <c r="H47" s="10" t="s">
        <v>96</v>
      </c>
      <c r="I47" s="10" t="s">
        <v>97</v>
      </c>
    </row>
    <row r="48" spans="2:9" ht="15" customHeight="1" x14ac:dyDescent="0.2">
      <c r="B48" t="s">
        <v>154</v>
      </c>
      <c r="C48" s="12">
        <v>36</v>
      </c>
      <c r="D48" s="8">
        <v>9.5</v>
      </c>
      <c r="E48" s="12">
        <v>13</v>
      </c>
      <c r="F48" s="8">
        <v>5.73</v>
      </c>
      <c r="G48" s="12">
        <v>23</v>
      </c>
      <c r="H48" s="8">
        <v>16.670000000000002</v>
      </c>
      <c r="I48" s="12">
        <v>0</v>
      </c>
    </row>
    <row r="49" spans="2:9" ht="15" customHeight="1" x14ac:dyDescent="0.2">
      <c r="B49" t="s">
        <v>170</v>
      </c>
      <c r="C49" s="12">
        <v>21</v>
      </c>
      <c r="D49" s="8">
        <v>5.54</v>
      </c>
      <c r="E49" s="12">
        <v>21</v>
      </c>
      <c r="F49" s="8">
        <v>9.25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169</v>
      </c>
      <c r="C50" s="12">
        <v>16</v>
      </c>
      <c r="D50" s="8">
        <v>4.22</v>
      </c>
      <c r="E50" s="12">
        <v>16</v>
      </c>
      <c r="F50" s="8">
        <v>7.05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155</v>
      </c>
      <c r="C51" s="12">
        <v>13</v>
      </c>
      <c r="D51" s="8">
        <v>3.43</v>
      </c>
      <c r="E51" s="12">
        <v>8</v>
      </c>
      <c r="F51" s="8">
        <v>3.52</v>
      </c>
      <c r="G51" s="12">
        <v>5</v>
      </c>
      <c r="H51" s="8">
        <v>3.62</v>
      </c>
      <c r="I51" s="12">
        <v>0</v>
      </c>
    </row>
    <row r="52" spans="2:9" ht="15" customHeight="1" x14ac:dyDescent="0.2">
      <c r="B52" t="s">
        <v>165</v>
      </c>
      <c r="C52" s="12">
        <v>13</v>
      </c>
      <c r="D52" s="8">
        <v>3.43</v>
      </c>
      <c r="E52" s="12">
        <v>3</v>
      </c>
      <c r="F52" s="8">
        <v>1.32</v>
      </c>
      <c r="G52" s="12">
        <v>10</v>
      </c>
      <c r="H52" s="8">
        <v>7.25</v>
      </c>
      <c r="I52" s="12">
        <v>0</v>
      </c>
    </row>
    <row r="53" spans="2:9" ht="15" customHeight="1" x14ac:dyDescent="0.2">
      <c r="B53" t="s">
        <v>158</v>
      </c>
      <c r="C53" s="12">
        <v>11</v>
      </c>
      <c r="D53" s="8">
        <v>2.9</v>
      </c>
      <c r="E53" s="12">
        <v>8</v>
      </c>
      <c r="F53" s="8">
        <v>3.52</v>
      </c>
      <c r="G53" s="12">
        <v>3</v>
      </c>
      <c r="H53" s="8">
        <v>2.17</v>
      </c>
      <c r="I53" s="12">
        <v>0</v>
      </c>
    </row>
    <row r="54" spans="2:9" ht="15" customHeight="1" x14ac:dyDescent="0.2">
      <c r="B54" t="s">
        <v>186</v>
      </c>
      <c r="C54" s="12">
        <v>9</v>
      </c>
      <c r="D54" s="8">
        <v>2.37</v>
      </c>
      <c r="E54" s="12">
        <v>3</v>
      </c>
      <c r="F54" s="8">
        <v>1.32</v>
      </c>
      <c r="G54" s="12">
        <v>6</v>
      </c>
      <c r="H54" s="8">
        <v>4.3499999999999996</v>
      </c>
      <c r="I54" s="12">
        <v>0</v>
      </c>
    </row>
    <row r="55" spans="2:9" ht="15" customHeight="1" x14ac:dyDescent="0.2">
      <c r="B55" t="s">
        <v>156</v>
      </c>
      <c r="C55" s="12">
        <v>9</v>
      </c>
      <c r="D55" s="8">
        <v>2.37</v>
      </c>
      <c r="E55" s="12">
        <v>5</v>
      </c>
      <c r="F55" s="8">
        <v>2.2000000000000002</v>
      </c>
      <c r="G55" s="12">
        <v>4</v>
      </c>
      <c r="H55" s="8">
        <v>2.9</v>
      </c>
      <c r="I55" s="12">
        <v>0</v>
      </c>
    </row>
    <row r="56" spans="2:9" ht="15" customHeight="1" x14ac:dyDescent="0.2">
      <c r="B56" t="s">
        <v>172</v>
      </c>
      <c r="C56" s="12">
        <v>9</v>
      </c>
      <c r="D56" s="8">
        <v>2.37</v>
      </c>
      <c r="E56" s="12">
        <v>9</v>
      </c>
      <c r="F56" s="8">
        <v>3.96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177</v>
      </c>
      <c r="C57" s="12">
        <v>8</v>
      </c>
      <c r="D57" s="8">
        <v>2.11</v>
      </c>
      <c r="E57" s="12">
        <v>7</v>
      </c>
      <c r="F57" s="8">
        <v>3.08</v>
      </c>
      <c r="G57" s="12">
        <v>1</v>
      </c>
      <c r="H57" s="8">
        <v>0.72</v>
      </c>
      <c r="I57" s="12">
        <v>0</v>
      </c>
    </row>
    <row r="58" spans="2:9" ht="15" customHeight="1" x14ac:dyDescent="0.2">
      <c r="B58" t="s">
        <v>159</v>
      </c>
      <c r="C58" s="12">
        <v>8</v>
      </c>
      <c r="D58" s="8">
        <v>2.11</v>
      </c>
      <c r="E58" s="12">
        <v>6</v>
      </c>
      <c r="F58" s="8">
        <v>2.64</v>
      </c>
      <c r="G58" s="12">
        <v>2</v>
      </c>
      <c r="H58" s="8">
        <v>1.45</v>
      </c>
      <c r="I58" s="12">
        <v>0</v>
      </c>
    </row>
    <row r="59" spans="2:9" ht="15" customHeight="1" x14ac:dyDescent="0.2">
      <c r="B59" t="s">
        <v>171</v>
      </c>
      <c r="C59" s="12">
        <v>8</v>
      </c>
      <c r="D59" s="8">
        <v>2.11</v>
      </c>
      <c r="E59" s="12">
        <v>8</v>
      </c>
      <c r="F59" s="8">
        <v>3.52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203</v>
      </c>
      <c r="C60" s="12">
        <v>7</v>
      </c>
      <c r="D60" s="8">
        <v>1.85</v>
      </c>
      <c r="E60" s="12">
        <v>3</v>
      </c>
      <c r="F60" s="8">
        <v>1.32</v>
      </c>
      <c r="G60" s="12">
        <v>4</v>
      </c>
      <c r="H60" s="8">
        <v>2.9</v>
      </c>
      <c r="I60" s="12">
        <v>0</v>
      </c>
    </row>
    <row r="61" spans="2:9" ht="15" customHeight="1" x14ac:dyDescent="0.2">
      <c r="B61" t="s">
        <v>161</v>
      </c>
      <c r="C61" s="12">
        <v>7</v>
      </c>
      <c r="D61" s="8">
        <v>1.85</v>
      </c>
      <c r="E61" s="12">
        <v>6</v>
      </c>
      <c r="F61" s="8">
        <v>2.64</v>
      </c>
      <c r="G61" s="12">
        <v>1</v>
      </c>
      <c r="H61" s="8">
        <v>0.72</v>
      </c>
      <c r="I61" s="12">
        <v>0</v>
      </c>
    </row>
    <row r="62" spans="2:9" ht="15" customHeight="1" x14ac:dyDescent="0.2">
      <c r="B62" t="s">
        <v>179</v>
      </c>
      <c r="C62" s="12">
        <v>7</v>
      </c>
      <c r="D62" s="8">
        <v>1.85</v>
      </c>
      <c r="E62" s="12">
        <v>6</v>
      </c>
      <c r="F62" s="8">
        <v>2.64</v>
      </c>
      <c r="G62" s="12">
        <v>1</v>
      </c>
      <c r="H62" s="8">
        <v>0.72</v>
      </c>
      <c r="I62" s="12">
        <v>0</v>
      </c>
    </row>
    <row r="63" spans="2:9" ht="15" customHeight="1" x14ac:dyDescent="0.2">
      <c r="B63" t="s">
        <v>182</v>
      </c>
      <c r="C63" s="12">
        <v>7</v>
      </c>
      <c r="D63" s="8">
        <v>1.85</v>
      </c>
      <c r="E63" s="12">
        <v>6</v>
      </c>
      <c r="F63" s="8">
        <v>2.64</v>
      </c>
      <c r="G63" s="12">
        <v>1</v>
      </c>
      <c r="H63" s="8">
        <v>0.72</v>
      </c>
      <c r="I63" s="12">
        <v>0</v>
      </c>
    </row>
    <row r="64" spans="2:9" ht="15" customHeight="1" x14ac:dyDescent="0.2">
      <c r="B64" t="s">
        <v>173</v>
      </c>
      <c r="C64" s="12">
        <v>7</v>
      </c>
      <c r="D64" s="8">
        <v>1.85</v>
      </c>
      <c r="E64" s="12">
        <v>7</v>
      </c>
      <c r="F64" s="8">
        <v>3.08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246</v>
      </c>
      <c r="C65" s="12">
        <v>6</v>
      </c>
      <c r="D65" s="8">
        <v>1.58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219</v>
      </c>
      <c r="C66" s="12">
        <v>6</v>
      </c>
      <c r="D66" s="8">
        <v>1.58</v>
      </c>
      <c r="E66" s="12">
        <v>0</v>
      </c>
      <c r="F66" s="8">
        <v>0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254</v>
      </c>
      <c r="C67" s="12">
        <v>6</v>
      </c>
      <c r="D67" s="8">
        <v>1.58</v>
      </c>
      <c r="E67" s="12">
        <v>0</v>
      </c>
      <c r="F67" s="8">
        <v>0</v>
      </c>
      <c r="G67" s="12">
        <v>6</v>
      </c>
      <c r="H67" s="8">
        <v>4.3499999999999996</v>
      </c>
      <c r="I67" s="12">
        <v>0</v>
      </c>
    </row>
    <row r="69" spans="2:9" ht="15" customHeight="1" x14ac:dyDescent="0.2">
      <c r="B69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3EF34-0D16-474B-9BB5-3E480564B6DA}">
  <sheetPr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360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22</v>
      </c>
      <c r="D6" s="8">
        <v>19.64</v>
      </c>
      <c r="E6" s="12">
        <v>6</v>
      </c>
      <c r="F6" s="8">
        <v>8</v>
      </c>
      <c r="G6" s="12">
        <v>16</v>
      </c>
      <c r="H6" s="8">
        <v>43.24</v>
      </c>
      <c r="I6" s="12">
        <v>0</v>
      </c>
    </row>
    <row r="7" spans="2:9" ht="15" customHeight="1" x14ac:dyDescent="0.2">
      <c r="B7" t="s">
        <v>77</v>
      </c>
      <c r="C7" s="12">
        <v>7</v>
      </c>
      <c r="D7" s="8">
        <v>6.25</v>
      </c>
      <c r="E7" s="12">
        <v>4</v>
      </c>
      <c r="F7" s="8">
        <v>5.33</v>
      </c>
      <c r="G7" s="12">
        <v>3</v>
      </c>
      <c r="H7" s="8">
        <v>8.11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80</v>
      </c>
      <c r="C10" s="12">
        <v>1</v>
      </c>
      <c r="D10" s="8">
        <v>0.89</v>
      </c>
      <c r="E10" s="12">
        <v>0</v>
      </c>
      <c r="F10" s="8">
        <v>0</v>
      </c>
      <c r="G10" s="12">
        <v>1</v>
      </c>
      <c r="H10" s="8">
        <v>2.7</v>
      </c>
      <c r="I10" s="12">
        <v>0</v>
      </c>
    </row>
    <row r="11" spans="2:9" ht="15" customHeight="1" x14ac:dyDescent="0.2">
      <c r="B11" t="s">
        <v>81</v>
      </c>
      <c r="C11" s="12">
        <v>24</v>
      </c>
      <c r="D11" s="8">
        <v>21.43</v>
      </c>
      <c r="E11" s="12">
        <v>16</v>
      </c>
      <c r="F11" s="8">
        <v>21.33</v>
      </c>
      <c r="G11" s="12">
        <v>8</v>
      </c>
      <c r="H11" s="8">
        <v>21.62</v>
      </c>
      <c r="I11" s="12">
        <v>0</v>
      </c>
    </row>
    <row r="12" spans="2:9" ht="15" customHeight="1" x14ac:dyDescent="0.2">
      <c r="B12" t="s">
        <v>82</v>
      </c>
      <c r="C12" s="12">
        <v>1</v>
      </c>
      <c r="D12" s="8">
        <v>0.89</v>
      </c>
      <c r="E12" s="12">
        <v>0</v>
      </c>
      <c r="F12" s="8">
        <v>0</v>
      </c>
      <c r="G12" s="12">
        <v>1</v>
      </c>
      <c r="H12" s="8">
        <v>2.7</v>
      </c>
      <c r="I12" s="12">
        <v>0</v>
      </c>
    </row>
    <row r="13" spans="2:9" ht="15" customHeight="1" x14ac:dyDescent="0.2">
      <c r="B13" t="s">
        <v>83</v>
      </c>
      <c r="C13" s="12">
        <v>16</v>
      </c>
      <c r="D13" s="8">
        <v>14.29</v>
      </c>
      <c r="E13" s="12">
        <v>12</v>
      </c>
      <c r="F13" s="8">
        <v>16</v>
      </c>
      <c r="G13" s="12">
        <v>4</v>
      </c>
      <c r="H13" s="8">
        <v>10.81</v>
      </c>
      <c r="I13" s="12">
        <v>0</v>
      </c>
    </row>
    <row r="14" spans="2:9" ht="15" customHeight="1" x14ac:dyDescent="0.2">
      <c r="B14" t="s">
        <v>84</v>
      </c>
      <c r="C14" s="12">
        <v>3</v>
      </c>
      <c r="D14" s="8">
        <v>2.68</v>
      </c>
      <c r="E14" s="12">
        <v>2</v>
      </c>
      <c r="F14" s="8">
        <v>2.67</v>
      </c>
      <c r="G14" s="12">
        <v>1</v>
      </c>
      <c r="H14" s="8">
        <v>2.7</v>
      </c>
      <c r="I14" s="12">
        <v>0</v>
      </c>
    </row>
    <row r="15" spans="2:9" ht="15" customHeight="1" x14ac:dyDescent="0.2">
      <c r="B15" t="s">
        <v>85</v>
      </c>
      <c r="C15" s="12">
        <v>7</v>
      </c>
      <c r="D15" s="8">
        <v>6.25</v>
      </c>
      <c r="E15" s="12">
        <v>6</v>
      </c>
      <c r="F15" s="8">
        <v>8</v>
      </c>
      <c r="G15" s="12">
        <v>1</v>
      </c>
      <c r="H15" s="8">
        <v>2.7</v>
      </c>
      <c r="I15" s="12">
        <v>0</v>
      </c>
    </row>
    <row r="16" spans="2:9" ht="15" customHeight="1" x14ac:dyDescent="0.2">
      <c r="B16" t="s">
        <v>86</v>
      </c>
      <c r="C16" s="12">
        <v>21</v>
      </c>
      <c r="D16" s="8">
        <v>18.75</v>
      </c>
      <c r="E16" s="12">
        <v>20</v>
      </c>
      <c r="F16" s="8">
        <v>26.67</v>
      </c>
      <c r="G16" s="12">
        <v>1</v>
      </c>
      <c r="H16" s="8">
        <v>2.7</v>
      </c>
      <c r="I16" s="12">
        <v>0</v>
      </c>
    </row>
    <row r="17" spans="2:9" ht="15" customHeight="1" x14ac:dyDescent="0.2">
      <c r="B17" t="s">
        <v>87</v>
      </c>
      <c r="C17" s="12">
        <v>2</v>
      </c>
      <c r="D17" s="8">
        <v>1.79</v>
      </c>
      <c r="E17" s="12">
        <v>2</v>
      </c>
      <c r="F17" s="8">
        <v>2.67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88</v>
      </c>
      <c r="C18" s="12">
        <v>5</v>
      </c>
      <c r="D18" s="8">
        <v>4.46</v>
      </c>
      <c r="E18" s="12">
        <v>4</v>
      </c>
      <c r="F18" s="8">
        <v>5.33</v>
      </c>
      <c r="G18" s="12">
        <v>1</v>
      </c>
      <c r="H18" s="8">
        <v>2.7</v>
      </c>
      <c r="I18" s="12">
        <v>0</v>
      </c>
    </row>
    <row r="19" spans="2:9" ht="15" customHeight="1" x14ac:dyDescent="0.2">
      <c r="B19" t="s">
        <v>89</v>
      </c>
      <c r="C19" s="12">
        <v>3</v>
      </c>
      <c r="D19" s="8">
        <v>2.68</v>
      </c>
      <c r="E19" s="12">
        <v>3</v>
      </c>
      <c r="F19" s="8">
        <v>4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285</v>
      </c>
      <c r="C20" s="12">
        <f>SUM(LTBL_40642[総数／事業所数])</f>
        <v>112</v>
      </c>
      <c r="E20" s="12">
        <f>SUBTOTAL(109,LTBL_40642[個人／事業所数])</f>
        <v>75</v>
      </c>
      <c r="G20" s="12">
        <f>SUBTOTAL(109,LTBL_40642[法人／事業所数])</f>
        <v>37</v>
      </c>
      <c r="I20" s="12">
        <f>SUBTOTAL(109,LTBL_40642[法人以外の団体／事業所数])</f>
        <v>0</v>
      </c>
    </row>
    <row r="21" spans="2:9" ht="15" customHeight="1" x14ac:dyDescent="0.2">
      <c r="E21" s="11">
        <f>LTBL_40642[[#Totals],[個人／事業所数]]/LTBL_40642[[#Totals],[総数／事業所数]]</f>
        <v>0.6696428571428571</v>
      </c>
      <c r="G21" s="11">
        <f>LTBL_40642[[#Totals],[法人／事業所数]]/LTBL_40642[[#Totals],[総数／事業所数]]</f>
        <v>0.33035714285714285</v>
      </c>
      <c r="I21" s="11">
        <f>LTBL_40642[[#Totals],[法人以外の団体／事業所数]]/LTBL_40642[[#Totals],[総数／事業所数]]</f>
        <v>0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19</v>
      </c>
      <c r="D24" s="8">
        <v>16.96</v>
      </c>
      <c r="E24" s="12">
        <v>19</v>
      </c>
      <c r="F24" s="8">
        <v>25.33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109</v>
      </c>
      <c r="C25" s="12">
        <v>15</v>
      </c>
      <c r="D25" s="8">
        <v>13.39</v>
      </c>
      <c r="E25" s="12">
        <v>12</v>
      </c>
      <c r="F25" s="8">
        <v>16</v>
      </c>
      <c r="G25" s="12">
        <v>3</v>
      </c>
      <c r="H25" s="8">
        <v>8.11</v>
      </c>
      <c r="I25" s="12">
        <v>0</v>
      </c>
    </row>
    <row r="26" spans="2:9" ht="15" customHeight="1" x14ac:dyDescent="0.2">
      <c r="B26" t="s">
        <v>100</v>
      </c>
      <c r="C26" s="12">
        <v>11</v>
      </c>
      <c r="D26" s="8">
        <v>9.82</v>
      </c>
      <c r="E26" s="12">
        <v>4</v>
      </c>
      <c r="F26" s="8">
        <v>5.33</v>
      </c>
      <c r="G26" s="12">
        <v>7</v>
      </c>
      <c r="H26" s="8">
        <v>18.920000000000002</v>
      </c>
      <c r="I26" s="12">
        <v>0</v>
      </c>
    </row>
    <row r="27" spans="2:9" ht="15" customHeight="1" x14ac:dyDescent="0.2">
      <c r="B27" t="s">
        <v>98</v>
      </c>
      <c r="C27" s="12">
        <v>10</v>
      </c>
      <c r="D27" s="8">
        <v>8.93</v>
      </c>
      <c r="E27" s="12">
        <v>2</v>
      </c>
      <c r="F27" s="8">
        <v>2.67</v>
      </c>
      <c r="G27" s="12">
        <v>8</v>
      </c>
      <c r="H27" s="8">
        <v>21.62</v>
      </c>
      <c r="I27" s="12">
        <v>0</v>
      </c>
    </row>
    <row r="28" spans="2:9" ht="15" customHeight="1" x14ac:dyDescent="0.2">
      <c r="B28" t="s">
        <v>107</v>
      </c>
      <c r="C28" s="12">
        <v>10</v>
      </c>
      <c r="D28" s="8">
        <v>8.93</v>
      </c>
      <c r="E28" s="12">
        <v>6</v>
      </c>
      <c r="F28" s="8">
        <v>8</v>
      </c>
      <c r="G28" s="12">
        <v>4</v>
      </c>
      <c r="H28" s="8">
        <v>10.81</v>
      </c>
      <c r="I28" s="12">
        <v>0</v>
      </c>
    </row>
    <row r="29" spans="2:9" ht="15" customHeight="1" x14ac:dyDescent="0.2">
      <c r="B29" t="s">
        <v>105</v>
      </c>
      <c r="C29" s="12">
        <v>6</v>
      </c>
      <c r="D29" s="8">
        <v>5.36</v>
      </c>
      <c r="E29" s="12">
        <v>5</v>
      </c>
      <c r="F29" s="8">
        <v>6.67</v>
      </c>
      <c r="G29" s="12">
        <v>1</v>
      </c>
      <c r="H29" s="8">
        <v>2.7</v>
      </c>
      <c r="I29" s="12">
        <v>0</v>
      </c>
    </row>
    <row r="30" spans="2:9" ht="15" customHeight="1" x14ac:dyDescent="0.2">
      <c r="B30" t="s">
        <v>112</v>
      </c>
      <c r="C30" s="12">
        <v>5</v>
      </c>
      <c r="D30" s="8">
        <v>4.46</v>
      </c>
      <c r="E30" s="12">
        <v>5</v>
      </c>
      <c r="F30" s="8">
        <v>6.67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115</v>
      </c>
      <c r="C31" s="12">
        <v>4</v>
      </c>
      <c r="D31" s="8">
        <v>3.57</v>
      </c>
      <c r="E31" s="12">
        <v>4</v>
      </c>
      <c r="F31" s="8">
        <v>5.33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106</v>
      </c>
      <c r="C32" s="12">
        <v>3</v>
      </c>
      <c r="D32" s="8">
        <v>2.68</v>
      </c>
      <c r="E32" s="12">
        <v>3</v>
      </c>
      <c r="F32" s="8">
        <v>4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130</v>
      </c>
      <c r="C33" s="12">
        <v>2</v>
      </c>
      <c r="D33" s="8">
        <v>1.79</v>
      </c>
      <c r="E33" s="12">
        <v>2</v>
      </c>
      <c r="F33" s="8">
        <v>2.67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134</v>
      </c>
      <c r="C34" s="12">
        <v>2</v>
      </c>
      <c r="D34" s="8">
        <v>1.79</v>
      </c>
      <c r="E34" s="12">
        <v>1</v>
      </c>
      <c r="F34" s="8">
        <v>1.33</v>
      </c>
      <c r="G34" s="12">
        <v>1</v>
      </c>
      <c r="H34" s="8">
        <v>2.7</v>
      </c>
      <c r="I34" s="12">
        <v>0</v>
      </c>
    </row>
    <row r="35" spans="2:9" ht="15" customHeight="1" x14ac:dyDescent="0.2">
      <c r="B35" t="s">
        <v>111</v>
      </c>
      <c r="C35" s="12">
        <v>2</v>
      </c>
      <c r="D35" s="8">
        <v>1.79</v>
      </c>
      <c r="E35" s="12">
        <v>1</v>
      </c>
      <c r="F35" s="8">
        <v>1.33</v>
      </c>
      <c r="G35" s="12">
        <v>1</v>
      </c>
      <c r="H35" s="8">
        <v>2.7</v>
      </c>
      <c r="I35" s="12">
        <v>0</v>
      </c>
    </row>
    <row r="36" spans="2:9" ht="15" customHeight="1" x14ac:dyDescent="0.2">
      <c r="B36" t="s">
        <v>121</v>
      </c>
      <c r="C36" s="12">
        <v>2</v>
      </c>
      <c r="D36" s="8">
        <v>1.79</v>
      </c>
      <c r="E36" s="12">
        <v>1</v>
      </c>
      <c r="F36" s="8">
        <v>1.33</v>
      </c>
      <c r="G36" s="12">
        <v>1</v>
      </c>
      <c r="H36" s="8">
        <v>2.7</v>
      </c>
      <c r="I36" s="12">
        <v>0</v>
      </c>
    </row>
    <row r="37" spans="2:9" ht="15" customHeight="1" x14ac:dyDescent="0.2">
      <c r="B37" t="s">
        <v>118</v>
      </c>
      <c r="C37" s="12">
        <v>2</v>
      </c>
      <c r="D37" s="8">
        <v>1.79</v>
      </c>
      <c r="E37" s="12">
        <v>1</v>
      </c>
      <c r="F37" s="8">
        <v>1.33</v>
      </c>
      <c r="G37" s="12">
        <v>1</v>
      </c>
      <c r="H37" s="8">
        <v>2.7</v>
      </c>
      <c r="I37" s="12">
        <v>0</v>
      </c>
    </row>
    <row r="38" spans="2:9" ht="15" customHeight="1" x14ac:dyDescent="0.2">
      <c r="B38" t="s">
        <v>114</v>
      </c>
      <c r="C38" s="12">
        <v>2</v>
      </c>
      <c r="D38" s="8">
        <v>1.79</v>
      </c>
      <c r="E38" s="12">
        <v>2</v>
      </c>
      <c r="F38" s="8">
        <v>2.67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123</v>
      </c>
      <c r="C39" s="12">
        <v>2</v>
      </c>
      <c r="D39" s="8">
        <v>1.79</v>
      </c>
      <c r="E39" s="12">
        <v>2</v>
      </c>
      <c r="F39" s="8">
        <v>2.67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99</v>
      </c>
      <c r="C40" s="12">
        <v>1</v>
      </c>
      <c r="D40" s="8">
        <v>0.89</v>
      </c>
      <c r="E40" s="12">
        <v>0</v>
      </c>
      <c r="F40" s="8">
        <v>0</v>
      </c>
      <c r="G40" s="12">
        <v>1</v>
      </c>
      <c r="H40" s="8">
        <v>2.7</v>
      </c>
      <c r="I40" s="12">
        <v>0</v>
      </c>
    </row>
    <row r="41" spans="2:9" ht="15" customHeight="1" x14ac:dyDescent="0.2">
      <c r="B41" t="s">
        <v>135</v>
      </c>
      <c r="C41" s="12">
        <v>1</v>
      </c>
      <c r="D41" s="8">
        <v>0.89</v>
      </c>
      <c r="E41" s="12">
        <v>0</v>
      </c>
      <c r="F41" s="8">
        <v>0</v>
      </c>
      <c r="G41" s="12">
        <v>1</v>
      </c>
      <c r="H41" s="8">
        <v>2.7</v>
      </c>
      <c r="I41" s="12">
        <v>0</v>
      </c>
    </row>
    <row r="42" spans="2:9" ht="15" customHeight="1" x14ac:dyDescent="0.2">
      <c r="B42" t="s">
        <v>129</v>
      </c>
      <c r="C42" s="12">
        <v>1</v>
      </c>
      <c r="D42" s="8">
        <v>0.89</v>
      </c>
      <c r="E42" s="12">
        <v>0</v>
      </c>
      <c r="F42" s="8">
        <v>0</v>
      </c>
      <c r="G42" s="12">
        <v>1</v>
      </c>
      <c r="H42" s="8">
        <v>2.7</v>
      </c>
      <c r="I42" s="12">
        <v>0</v>
      </c>
    </row>
    <row r="43" spans="2:9" ht="15" customHeight="1" x14ac:dyDescent="0.2">
      <c r="B43" t="s">
        <v>145</v>
      </c>
      <c r="C43" s="12">
        <v>1</v>
      </c>
      <c r="D43" s="8">
        <v>0.89</v>
      </c>
      <c r="E43" s="12">
        <v>1</v>
      </c>
      <c r="F43" s="8">
        <v>1.33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138</v>
      </c>
      <c r="C44" s="12">
        <v>1</v>
      </c>
      <c r="D44" s="8">
        <v>0.89</v>
      </c>
      <c r="E44" s="12">
        <v>0</v>
      </c>
      <c r="F44" s="8">
        <v>0</v>
      </c>
      <c r="G44" s="12">
        <v>1</v>
      </c>
      <c r="H44" s="8">
        <v>2.7</v>
      </c>
      <c r="I44" s="12">
        <v>0</v>
      </c>
    </row>
    <row r="45" spans="2:9" ht="15" customHeight="1" x14ac:dyDescent="0.2">
      <c r="B45" t="s">
        <v>124</v>
      </c>
      <c r="C45" s="12">
        <v>1</v>
      </c>
      <c r="D45" s="8">
        <v>0.89</v>
      </c>
      <c r="E45" s="12">
        <v>1</v>
      </c>
      <c r="F45" s="8">
        <v>1.33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101</v>
      </c>
      <c r="C46" s="12">
        <v>1</v>
      </c>
      <c r="D46" s="8">
        <v>0.89</v>
      </c>
      <c r="E46" s="12">
        <v>0</v>
      </c>
      <c r="F46" s="8">
        <v>0</v>
      </c>
      <c r="G46" s="12">
        <v>1</v>
      </c>
      <c r="H46" s="8">
        <v>2.7</v>
      </c>
      <c r="I46" s="12">
        <v>0</v>
      </c>
    </row>
    <row r="47" spans="2:9" ht="15" customHeight="1" x14ac:dyDescent="0.2">
      <c r="B47" t="s">
        <v>102</v>
      </c>
      <c r="C47" s="12">
        <v>1</v>
      </c>
      <c r="D47" s="8">
        <v>0.89</v>
      </c>
      <c r="E47" s="12">
        <v>0</v>
      </c>
      <c r="F47" s="8">
        <v>0</v>
      </c>
      <c r="G47" s="12">
        <v>1</v>
      </c>
      <c r="H47" s="8">
        <v>2.7</v>
      </c>
      <c r="I47" s="12">
        <v>0</v>
      </c>
    </row>
    <row r="48" spans="2:9" ht="15" customHeight="1" x14ac:dyDescent="0.2">
      <c r="B48" t="s">
        <v>104</v>
      </c>
      <c r="C48" s="12">
        <v>1</v>
      </c>
      <c r="D48" s="8">
        <v>0.89</v>
      </c>
      <c r="E48" s="12">
        <v>1</v>
      </c>
      <c r="F48" s="8">
        <v>1.33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126</v>
      </c>
      <c r="C49" s="12">
        <v>1</v>
      </c>
      <c r="D49" s="8">
        <v>0.89</v>
      </c>
      <c r="E49" s="12">
        <v>0</v>
      </c>
      <c r="F49" s="8">
        <v>0</v>
      </c>
      <c r="G49" s="12">
        <v>1</v>
      </c>
      <c r="H49" s="8">
        <v>2.7</v>
      </c>
      <c r="I49" s="12">
        <v>0</v>
      </c>
    </row>
    <row r="50" spans="2:9" ht="15" customHeight="1" x14ac:dyDescent="0.2">
      <c r="B50" t="s">
        <v>122</v>
      </c>
      <c r="C50" s="12">
        <v>1</v>
      </c>
      <c r="D50" s="8">
        <v>0.89</v>
      </c>
      <c r="E50" s="12">
        <v>0</v>
      </c>
      <c r="F50" s="8">
        <v>0</v>
      </c>
      <c r="G50" s="12">
        <v>1</v>
      </c>
      <c r="H50" s="8">
        <v>2.7</v>
      </c>
      <c r="I50" s="12">
        <v>0</v>
      </c>
    </row>
    <row r="51" spans="2:9" ht="15" customHeight="1" x14ac:dyDescent="0.2">
      <c r="B51" t="s">
        <v>108</v>
      </c>
      <c r="C51" s="12">
        <v>1</v>
      </c>
      <c r="D51" s="8">
        <v>0.89</v>
      </c>
      <c r="E51" s="12">
        <v>0</v>
      </c>
      <c r="F51" s="8">
        <v>0</v>
      </c>
      <c r="G51" s="12">
        <v>1</v>
      </c>
      <c r="H51" s="8">
        <v>2.7</v>
      </c>
      <c r="I51" s="12">
        <v>0</v>
      </c>
    </row>
    <row r="52" spans="2:9" ht="15" customHeight="1" x14ac:dyDescent="0.2">
      <c r="B52" t="s">
        <v>110</v>
      </c>
      <c r="C52" s="12">
        <v>1</v>
      </c>
      <c r="D52" s="8">
        <v>0.89</v>
      </c>
      <c r="E52" s="12">
        <v>1</v>
      </c>
      <c r="F52" s="8">
        <v>1.33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116</v>
      </c>
      <c r="C53" s="12">
        <v>1</v>
      </c>
      <c r="D53" s="8">
        <v>0.89</v>
      </c>
      <c r="E53" s="12">
        <v>0</v>
      </c>
      <c r="F53" s="8">
        <v>0</v>
      </c>
      <c r="G53" s="12">
        <v>1</v>
      </c>
      <c r="H53" s="8">
        <v>2.7</v>
      </c>
      <c r="I53" s="12">
        <v>0</v>
      </c>
    </row>
    <row r="54" spans="2:9" ht="15" customHeight="1" x14ac:dyDescent="0.2">
      <c r="B54" t="s">
        <v>139</v>
      </c>
      <c r="C54" s="12">
        <v>1</v>
      </c>
      <c r="D54" s="8">
        <v>0.89</v>
      </c>
      <c r="E54" s="12">
        <v>1</v>
      </c>
      <c r="F54" s="8">
        <v>1.33</v>
      </c>
      <c r="G54" s="12">
        <v>0</v>
      </c>
      <c r="H54" s="8">
        <v>0</v>
      </c>
      <c r="I54" s="12">
        <v>0</v>
      </c>
    </row>
    <row r="57" spans="2:9" ht="33" customHeight="1" x14ac:dyDescent="0.2">
      <c r="B57" t="s">
        <v>287</v>
      </c>
      <c r="C57" s="10" t="s">
        <v>91</v>
      </c>
      <c r="D57" s="10" t="s">
        <v>92</v>
      </c>
      <c r="E57" s="10" t="s">
        <v>93</v>
      </c>
      <c r="F57" s="10" t="s">
        <v>94</v>
      </c>
      <c r="G57" s="10" t="s">
        <v>95</v>
      </c>
      <c r="H57" s="10" t="s">
        <v>96</v>
      </c>
      <c r="I57" s="10" t="s">
        <v>97</v>
      </c>
    </row>
    <row r="58" spans="2:9" ht="15" customHeight="1" x14ac:dyDescent="0.2">
      <c r="B58" t="s">
        <v>170</v>
      </c>
      <c r="C58" s="12">
        <v>12</v>
      </c>
      <c r="D58" s="8">
        <v>10.71</v>
      </c>
      <c r="E58" s="12">
        <v>12</v>
      </c>
      <c r="F58" s="8">
        <v>16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164</v>
      </c>
      <c r="C59" s="12">
        <v>10</v>
      </c>
      <c r="D59" s="8">
        <v>8.93</v>
      </c>
      <c r="E59" s="12">
        <v>8</v>
      </c>
      <c r="F59" s="8">
        <v>10.67</v>
      </c>
      <c r="G59" s="12">
        <v>2</v>
      </c>
      <c r="H59" s="8">
        <v>5.41</v>
      </c>
      <c r="I59" s="12">
        <v>0</v>
      </c>
    </row>
    <row r="60" spans="2:9" ht="15" customHeight="1" x14ac:dyDescent="0.2">
      <c r="B60" t="s">
        <v>169</v>
      </c>
      <c r="C60" s="12">
        <v>6</v>
      </c>
      <c r="D60" s="8">
        <v>5.36</v>
      </c>
      <c r="E60" s="12">
        <v>6</v>
      </c>
      <c r="F60" s="8">
        <v>8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174</v>
      </c>
      <c r="C61" s="12">
        <v>5</v>
      </c>
      <c r="D61" s="8">
        <v>4.46</v>
      </c>
      <c r="E61" s="12">
        <v>2</v>
      </c>
      <c r="F61" s="8">
        <v>2.67</v>
      </c>
      <c r="G61" s="12">
        <v>3</v>
      </c>
      <c r="H61" s="8">
        <v>8.11</v>
      </c>
      <c r="I61" s="12">
        <v>0</v>
      </c>
    </row>
    <row r="62" spans="2:9" ht="15" customHeight="1" x14ac:dyDescent="0.2">
      <c r="B62" t="s">
        <v>186</v>
      </c>
      <c r="C62" s="12">
        <v>4</v>
      </c>
      <c r="D62" s="8">
        <v>3.57</v>
      </c>
      <c r="E62" s="12">
        <v>2</v>
      </c>
      <c r="F62" s="8">
        <v>2.67</v>
      </c>
      <c r="G62" s="12">
        <v>2</v>
      </c>
      <c r="H62" s="8">
        <v>5.41</v>
      </c>
      <c r="I62" s="12">
        <v>0</v>
      </c>
    </row>
    <row r="63" spans="2:9" ht="15" customHeight="1" x14ac:dyDescent="0.2">
      <c r="B63" t="s">
        <v>175</v>
      </c>
      <c r="C63" s="12">
        <v>4</v>
      </c>
      <c r="D63" s="8">
        <v>3.57</v>
      </c>
      <c r="E63" s="12">
        <v>4</v>
      </c>
      <c r="F63" s="8">
        <v>5.33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156</v>
      </c>
      <c r="C64" s="12">
        <v>3</v>
      </c>
      <c r="D64" s="8">
        <v>2.68</v>
      </c>
      <c r="E64" s="12">
        <v>1</v>
      </c>
      <c r="F64" s="8">
        <v>1.33</v>
      </c>
      <c r="G64" s="12">
        <v>2</v>
      </c>
      <c r="H64" s="8">
        <v>5.41</v>
      </c>
      <c r="I64" s="12">
        <v>0</v>
      </c>
    </row>
    <row r="65" spans="2:9" ht="15" customHeight="1" x14ac:dyDescent="0.2">
      <c r="B65" t="s">
        <v>279</v>
      </c>
      <c r="C65" s="12">
        <v>3</v>
      </c>
      <c r="D65" s="8">
        <v>2.68</v>
      </c>
      <c r="E65" s="12">
        <v>1</v>
      </c>
      <c r="F65" s="8">
        <v>1.33</v>
      </c>
      <c r="G65" s="12">
        <v>2</v>
      </c>
      <c r="H65" s="8">
        <v>5.41</v>
      </c>
      <c r="I65" s="12">
        <v>0</v>
      </c>
    </row>
    <row r="66" spans="2:9" ht="15" customHeight="1" x14ac:dyDescent="0.2">
      <c r="B66" t="s">
        <v>267</v>
      </c>
      <c r="C66" s="12">
        <v>3</v>
      </c>
      <c r="D66" s="8">
        <v>2.68</v>
      </c>
      <c r="E66" s="12">
        <v>2</v>
      </c>
      <c r="F66" s="8">
        <v>2.67</v>
      </c>
      <c r="G66" s="12">
        <v>1</v>
      </c>
      <c r="H66" s="8">
        <v>2.7</v>
      </c>
      <c r="I66" s="12">
        <v>0</v>
      </c>
    </row>
    <row r="67" spans="2:9" ht="15" customHeight="1" x14ac:dyDescent="0.2">
      <c r="B67" t="s">
        <v>160</v>
      </c>
      <c r="C67" s="12">
        <v>3</v>
      </c>
      <c r="D67" s="8">
        <v>2.68</v>
      </c>
      <c r="E67" s="12">
        <v>1</v>
      </c>
      <c r="F67" s="8">
        <v>1.33</v>
      </c>
      <c r="G67" s="12">
        <v>2</v>
      </c>
      <c r="H67" s="8">
        <v>5.41</v>
      </c>
      <c r="I67" s="12">
        <v>0</v>
      </c>
    </row>
    <row r="68" spans="2:9" ht="15" customHeight="1" x14ac:dyDescent="0.2">
      <c r="B68" t="s">
        <v>161</v>
      </c>
      <c r="C68" s="12">
        <v>3</v>
      </c>
      <c r="D68" s="8">
        <v>2.68</v>
      </c>
      <c r="E68" s="12">
        <v>3</v>
      </c>
      <c r="F68" s="8">
        <v>4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232</v>
      </c>
      <c r="C69" s="12">
        <v>2</v>
      </c>
      <c r="D69" s="8">
        <v>1.79</v>
      </c>
      <c r="E69" s="12">
        <v>0</v>
      </c>
      <c r="F69" s="8">
        <v>0</v>
      </c>
      <c r="G69" s="12">
        <v>2</v>
      </c>
      <c r="H69" s="8">
        <v>5.41</v>
      </c>
      <c r="I69" s="12">
        <v>0</v>
      </c>
    </row>
    <row r="70" spans="2:9" ht="15" customHeight="1" x14ac:dyDescent="0.2">
      <c r="B70" t="s">
        <v>154</v>
      </c>
      <c r="C70" s="12">
        <v>2</v>
      </c>
      <c r="D70" s="8">
        <v>1.79</v>
      </c>
      <c r="E70" s="12">
        <v>0</v>
      </c>
      <c r="F70" s="8">
        <v>0</v>
      </c>
      <c r="G70" s="12">
        <v>2</v>
      </c>
      <c r="H70" s="8">
        <v>5.41</v>
      </c>
      <c r="I70" s="12">
        <v>0</v>
      </c>
    </row>
    <row r="71" spans="2:9" ht="15" customHeight="1" x14ac:dyDescent="0.2">
      <c r="B71" t="s">
        <v>155</v>
      </c>
      <c r="C71" s="12">
        <v>2</v>
      </c>
      <c r="D71" s="8">
        <v>1.79</v>
      </c>
      <c r="E71" s="12">
        <v>0</v>
      </c>
      <c r="F71" s="8">
        <v>0</v>
      </c>
      <c r="G71" s="12">
        <v>2</v>
      </c>
      <c r="H71" s="8">
        <v>5.41</v>
      </c>
      <c r="I71" s="12">
        <v>0</v>
      </c>
    </row>
    <row r="72" spans="2:9" ht="15" customHeight="1" x14ac:dyDescent="0.2">
      <c r="B72" t="s">
        <v>176</v>
      </c>
      <c r="C72" s="12">
        <v>2</v>
      </c>
      <c r="D72" s="8">
        <v>1.79</v>
      </c>
      <c r="E72" s="12">
        <v>2</v>
      </c>
      <c r="F72" s="8">
        <v>2.67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159</v>
      </c>
      <c r="C73" s="12">
        <v>2</v>
      </c>
      <c r="D73" s="8">
        <v>1.79</v>
      </c>
      <c r="E73" s="12">
        <v>2</v>
      </c>
      <c r="F73" s="8">
        <v>2.67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205</v>
      </c>
      <c r="C74" s="12">
        <v>2</v>
      </c>
      <c r="D74" s="8">
        <v>1.79</v>
      </c>
      <c r="E74" s="12">
        <v>1</v>
      </c>
      <c r="F74" s="8">
        <v>1.33</v>
      </c>
      <c r="G74" s="12">
        <v>1</v>
      </c>
      <c r="H74" s="8">
        <v>2.7</v>
      </c>
      <c r="I74" s="12">
        <v>0</v>
      </c>
    </row>
    <row r="75" spans="2:9" ht="15" customHeight="1" x14ac:dyDescent="0.2">
      <c r="B75" t="s">
        <v>280</v>
      </c>
      <c r="C75" s="12">
        <v>2</v>
      </c>
      <c r="D75" s="8">
        <v>1.79</v>
      </c>
      <c r="E75" s="12">
        <v>1</v>
      </c>
      <c r="F75" s="8">
        <v>1.33</v>
      </c>
      <c r="G75" s="12">
        <v>1</v>
      </c>
      <c r="H75" s="8">
        <v>2.7</v>
      </c>
      <c r="I75" s="12">
        <v>0</v>
      </c>
    </row>
    <row r="76" spans="2:9" ht="15" customHeight="1" x14ac:dyDescent="0.2">
      <c r="B76" t="s">
        <v>178</v>
      </c>
      <c r="C76" s="12">
        <v>2</v>
      </c>
      <c r="D76" s="8">
        <v>1.79</v>
      </c>
      <c r="E76" s="12">
        <v>2</v>
      </c>
      <c r="F76" s="8">
        <v>2.67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183</v>
      </c>
      <c r="C77" s="12">
        <v>2</v>
      </c>
      <c r="D77" s="8">
        <v>1.79</v>
      </c>
      <c r="E77" s="12">
        <v>2</v>
      </c>
      <c r="F77" s="8">
        <v>2.67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172</v>
      </c>
      <c r="C78" s="12">
        <v>2</v>
      </c>
      <c r="D78" s="8">
        <v>1.79</v>
      </c>
      <c r="E78" s="12">
        <v>2</v>
      </c>
      <c r="F78" s="8">
        <v>2.67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173</v>
      </c>
      <c r="C79" s="12">
        <v>2</v>
      </c>
      <c r="D79" s="8">
        <v>1.79</v>
      </c>
      <c r="E79" s="12">
        <v>2</v>
      </c>
      <c r="F79" s="8">
        <v>2.67</v>
      </c>
      <c r="G79" s="12">
        <v>0</v>
      </c>
      <c r="H79" s="8">
        <v>0</v>
      </c>
      <c r="I79" s="12">
        <v>0</v>
      </c>
    </row>
    <row r="81" spans="2:2" ht="15" customHeight="1" x14ac:dyDescent="0.2">
      <c r="B81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6F51E-B173-4B0C-A381-CD5665305761}">
  <sheetPr>
    <pageSetUpPr fitToPage="1"/>
  </sheetPr>
  <dimension ref="B2:I8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361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29</v>
      </c>
      <c r="D6" s="8">
        <v>26.13</v>
      </c>
      <c r="E6" s="12">
        <v>14</v>
      </c>
      <c r="F6" s="8">
        <v>21.21</v>
      </c>
      <c r="G6" s="12">
        <v>15</v>
      </c>
      <c r="H6" s="8">
        <v>34.880000000000003</v>
      </c>
      <c r="I6" s="12">
        <v>0</v>
      </c>
    </row>
    <row r="7" spans="2:9" ht="15" customHeight="1" x14ac:dyDescent="0.2">
      <c r="B7" t="s">
        <v>77</v>
      </c>
      <c r="C7" s="12">
        <v>5</v>
      </c>
      <c r="D7" s="8">
        <v>4.5</v>
      </c>
      <c r="E7" s="12">
        <v>0</v>
      </c>
      <c r="F7" s="8">
        <v>0</v>
      </c>
      <c r="G7" s="12">
        <v>5</v>
      </c>
      <c r="H7" s="8">
        <v>11.63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80</v>
      </c>
      <c r="C10" s="12">
        <v>1</v>
      </c>
      <c r="D10" s="8">
        <v>0.9</v>
      </c>
      <c r="E10" s="12">
        <v>1</v>
      </c>
      <c r="F10" s="8">
        <v>1.52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81</v>
      </c>
      <c r="C11" s="12">
        <v>37</v>
      </c>
      <c r="D11" s="8">
        <v>33.33</v>
      </c>
      <c r="E11" s="12">
        <v>26</v>
      </c>
      <c r="F11" s="8">
        <v>39.39</v>
      </c>
      <c r="G11" s="12">
        <v>11</v>
      </c>
      <c r="H11" s="8">
        <v>25.58</v>
      </c>
      <c r="I11" s="12">
        <v>0</v>
      </c>
    </row>
    <row r="12" spans="2:9" ht="15" customHeight="1" x14ac:dyDescent="0.2">
      <c r="B12" t="s">
        <v>82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83</v>
      </c>
      <c r="C13" s="12">
        <v>4</v>
      </c>
      <c r="D13" s="8">
        <v>3.6</v>
      </c>
      <c r="E13" s="12">
        <v>1</v>
      </c>
      <c r="F13" s="8">
        <v>1.52</v>
      </c>
      <c r="G13" s="12">
        <v>3</v>
      </c>
      <c r="H13" s="8">
        <v>6.98</v>
      </c>
      <c r="I13" s="12">
        <v>0</v>
      </c>
    </row>
    <row r="14" spans="2:9" ht="15" customHeight="1" x14ac:dyDescent="0.2">
      <c r="B14" t="s">
        <v>84</v>
      </c>
      <c r="C14" s="12">
        <v>1</v>
      </c>
      <c r="D14" s="8">
        <v>0.9</v>
      </c>
      <c r="E14" s="12">
        <v>0</v>
      </c>
      <c r="F14" s="8">
        <v>0</v>
      </c>
      <c r="G14" s="12">
        <v>1</v>
      </c>
      <c r="H14" s="8">
        <v>2.33</v>
      </c>
      <c r="I14" s="12">
        <v>0</v>
      </c>
    </row>
    <row r="15" spans="2:9" ht="15" customHeight="1" x14ac:dyDescent="0.2">
      <c r="B15" t="s">
        <v>85</v>
      </c>
      <c r="C15" s="12">
        <v>5</v>
      </c>
      <c r="D15" s="8">
        <v>4.5</v>
      </c>
      <c r="E15" s="12">
        <v>3</v>
      </c>
      <c r="F15" s="8">
        <v>4.55</v>
      </c>
      <c r="G15" s="12">
        <v>2</v>
      </c>
      <c r="H15" s="8">
        <v>4.6500000000000004</v>
      </c>
      <c r="I15" s="12">
        <v>0</v>
      </c>
    </row>
    <row r="16" spans="2:9" ht="15" customHeight="1" x14ac:dyDescent="0.2">
      <c r="B16" t="s">
        <v>86</v>
      </c>
      <c r="C16" s="12">
        <v>12</v>
      </c>
      <c r="D16" s="8">
        <v>10.81</v>
      </c>
      <c r="E16" s="12">
        <v>12</v>
      </c>
      <c r="F16" s="8">
        <v>18.18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87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88</v>
      </c>
      <c r="C18" s="12">
        <v>6</v>
      </c>
      <c r="D18" s="8">
        <v>5.41</v>
      </c>
      <c r="E18" s="12">
        <v>1</v>
      </c>
      <c r="F18" s="8">
        <v>1.52</v>
      </c>
      <c r="G18" s="12">
        <v>4</v>
      </c>
      <c r="H18" s="8">
        <v>9.3000000000000007</v>
      </c>
      <c r="I18" s="12">
        <v>0</v>
      </c>
    </row>
    <row r="19" spans="2:9" ht="15" customHeight="1" x14ac:dyDescent="0.2">
      <c r="B19" t="s">
        <v>89</v>
      </c>
      <c r="C19" s="12">
        <v>11</v>
      </c>
      <c r="D19" s="8">
        <v>9.91</v>
      </c>
      <c r="E19" s="12">
        <v>8</v>
      </c>
      <c r="F19" s="8">
        <v>12.12</v>
      </c>
      <c r="G19" s="12">
        <v>2</v>
      </c>
      <c r="H19" s="8">
        <v>4.6500000000000004</v>
      </c>
      <c r="I19" s="12">
        <v>0</v>
      </c>
    </row>
    <row r="20" spans="2:9" ht="15" customHeight="1" x14ac:dyDescent="0.2">
      <c r="B20" s="9" t="s">
        <v>285</v>
      </c>
      <c r="C20" s="12">
        <f>SUM(LTBL_40646[総数／事業所数])</f>
        <v>111</v>
      </c>
      <c r="E20" s="12">
        <f>SUBTOTAL(109,LTBL_40646[個人／事業所数])</f>
        <v>66</v>
      </c>
      <c r="G20" s="12">
        <f>SUBTOTAL(109,LTBL_40646[法人／事業所数])</f>
        <v>43</v>
      </c>
      <c r="I20" s="12">
        <f>SUBTOTAL(109,LTBL_40646[法人以外の団体／事業所数])</f>
        <v>0</v>
      </c>
    </row>
    <row r="21" spans="2:9" ht="15" customHeight="1" x14ac:dyDescent="0.2">
      <c r="E21" s="11">
        <f>LTBL_40646[[#Totals],[個人／事業所数]]/LTBL_40646[[#Totals],[総数／事業所数]]</f>
        <v>0.59459459459459463</v>
      </c>
      <c r="G21" s="11">
        <f>LTBL_40646[[#Totals],[法人／事業所数]]/LTBL_40646[[#Totals],[総数／事業所数]]</f>
        <v>0.38738738738738737</v>
      </c>
      <c r="I21" s="11">
        <f>LTBL_40646[[#Totals],[法人以外の団体／事業所数]]/LTBL_40646[[#Totals],[総数／事業所数]]</f>
        <v>0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98</v>
      </c>
      <c r="C24" s="12">
        <v>19</v>
      </c>
      <c r="D24" s="8">
        <v>17.12</v>
      </c>
      <c r="E24" s="12">
        <v>8</v>
      </c>
      <c r="F24" s="8">
        <v>12.12</v>
      </c>
      <c r="G24" s="12">
        <v>11</v>
      </c>
      <c r="H24" s="8">
        <v>25.58</v>
      </c>
      <c r="I24" s="12">
        <v>0</v>
      </c>
    </row>
    <row r="25" spans="2:9" ht="15" customHeight="1" x14ac:dyDescent="0.2">
      <c r="B25" t="s">
        <v>105</v>
      </c>
      <c r="C25" s="12">
        <v>14</v>
      </c>
      <c r="D25" s="8">
        <v>12.61</v>
      </c>
      <c r="E25" s="12">
        <v>12</v>
      </c>
      <c r="F25" s="8">
        <v>18.18</v>
      </c>
      <c r="G25" s="12">
        <v>2</v>
      </c>
      <c r="H25" s="8">
        <v>4.6500000000000004</v>
      </c>
      <c r="I25" s="12">
        <v>0</v>
      </c>
    </row>
    <row r="26" spans="2:9" ht="15" customHeight="1" x14ac:dyDescent="0.2">
      <c r="B26" t="s">
        <v>113</v>
      </c>
      <c r="C26" s="12">
        <v>12</v>
      </c>
      <c r="D26" s="8">
        <v>10.81</v>
      </c>
      <c r="E26" s="12">
        <v>12</v>
      </c>
      <c r="F26" s="8">
        <v>18.18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107</v>
      </c>
      <c r="C27" s="12">
        <v>9</v>
      </c>
      <c r="D27" s="8">
        <v>8.11</v>
      </c>
      <c r="E27" s="12">
        <v>3</v>
      </c>
      <c r="F27" s="8">
        <v>4.55</v>
      </c>
      <c r="G27" s="12">
        <v>6</v>
      </c>
      <c r="H27" s="8">
        <v>13.95</v>
      </c>
      <c r="I27" s="12">
        <v>0</v>
      </c>
    </row>
    <row r="28" spans="2:9" ht="15" customHeight="1" x14ac:dyDescent="0.2">
      <c r="B28" t="s">
        <v>99</v>
      </c>
      <c r="C28" s="12">
        <v>6</v>
      </c>
      <c r="D28" s="8">
        <v>5.41</v>
      </c>
      <c r="E28" s="12">
        <v>4</v>
      </c>
      <c r="F28" s="8">
        <v>6.06</v>
      </c>
      <c r="G28" s="12">
        <v>2</v>
      </c>
      <c r="H28" s="8">
        <v>4.6500000000000004</v>
      </c>
      <c r="I28" s="12">
        <v>0</v>
      </c>
    </row>
    <row r="29" spans="2:9" ht="15" customHeight="1" x14ac:dyDescent="0.2">
      <c r="B29" t="s">
        <v>106</v>
      </c>
      <c r="C29" s="12">
        <v>5</v>
      </c>
      <c r="D29" s="8">
        <v>4.5</v>
      </c>
      <c r="E29" s="12">
        <v>5</v>
      </c>
      <c r="F29" s="8">
        <v>7.58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116</v>
      </c>
      <c r="C30" s="12">
        <v>5</v>
      </c>
      <c r="D30" s="8">
        <v>4.5</v>
      </c>
      <c r="E30" s="12">
        <v>0</v>
      </c>
      <c r="F30" s="8">
        <v>0</v>
      </c>
      <c r="G30" s="12">
        <v>4</v>
      </c>
      <c r="H30" s="8">
        <v>9.3000000000000007</v>
      </c>
      <c r="I30" s="12">
        <v>0</v>
      </c>
    </row>
    <row r="31" spans="2:9" ht="15" customHeight="1" x14ac:dyDescent="0.2">
      <c r="B31" t="s">
        <v>123</v>
      </c>
      <c r="C31" s="12">
        <v>5</v>
      </c>
      <c r="D31" s="8">
        <v>4.5</v>
      </c>
      <c r="E31" s="12">
        <v>5</v>
      </c>
      <c r="F31" s="8">
        <v>7.58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100</v>
      </c>
      <c r="C32" s="12">
        <v>4</v>
      </c>
      <c r="D32" s="8">
        <v>3.6</v>
      </c>
      <c r="E32" s="12">
        <v>2</v>
      </c>
      <c r="F32" s="8">
        <v>3.03</v>
      </c>
      <c r="G32" s="12">
        <v>2</v>
      </c>
      <c r="H32" s="8">
        <v>4.6500000000000004</v>
      </c>
      <c r="I32" s="12">
        <v>0</v>
      </c>
    </row>
    <row r="33" spans="2:9" ht="15" customHeight="1" x14ac:dyDescent="0.2">
      <c r="B33" t="s">
        <v>103</v>
      </c>
      <c r="C33" s="12">
        <v>3</v>
      </c>
      <c r="D33" s="8">
        <v>2.7</v>
      </c>
      <c r="E33" s="12">
        <v>1</v>
      </c>
      <c r="F33" s="8">
        <v>1.52</v>
      </c>
      <c r="G33" s="12">
        <v>2</v>
      </c>
      <c r="H33" s="8">
        <v>4.6500000000000004</v>
      </c>
      <c r="I33" s="12">
        <v>0</v>
      </c>
    </row>
    <row r="34" spans="2:9" ht="15" customHeight="1" x14ac:dyDescent="0.2">
      <c r="B34" t="s">
        <v>104</v>
      </c>
      <c r="C34" s="12">
        <v>3</v>
      </c>
      <c r="D34" s="8">
        <v>2.7</v>
      </c>
      <c r="E34" s="12">
        <v>3</v>
      </c>
      <c r="F34" s="8">
        <v>4.55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112</v>
      </c>
      <c r="C35" s="12">
        <v>3</v>
      </c>
      <c r="D35" s="8">
        <v>2.7</v>
      </c>
      <c r="E35" s="12">
        <v>2</v>
      </c>
      <c r="F35" s="8">
        <v>3.03</v>
      </c>
      <c r="G35" s="12">
        <v>1</v>
      </c>
      <c r="H35" s="8">
        <v>2.33</v>
      </c>
      <c r="I35" s="12">
        <v>0</v>
      </c>
    </row>
    <row r="36" spans="2:9" ht="15" customHeight="1" x14ac:dyDescent="0.2">
      <c r="B36" t="s">
        <v>139</v>
      </c>
      <c r="C36" s="12">
        <v>3</v>
      </c>
      <c r="D36" s="8">
        <v>2.7</v>
      </c>
      <c r="E36" s="12">
        <v>3</v>
      </c>
      <c r="F36" s="8">
        <v>4.55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108</v>
      </c>
      <c r="C37" s="12">
        <v>2</v>
      </c>
      <c r="D37" s="8">
        <v>1.8</v>
      </c>
      <c r="E37" s="12">
        <v>1</v>
      </c>
      <c r="F37" s="8">
        <v>1.52</v>
      </c>
      <c r="G37" s="12">
        <v>1</v>
      </c>
      <c r="H37" s="8">
        <v>2.33</v>
      </c>
      <c r="I37" s="12">
        <v>0</v>
      </c>
    </row>
    <row r="38" spans="2:9" ht="15" customHeight="1" x14ac:dyDescent="0.2">
      <c r="B38" t="s">
        <v>140</v>
      </c>
      <c r="C38" s="12">
        <v>2</v>
      </c>
      <c r="D38" s="8">
        <v>1.8</v>
      </c>
      <c r="E38" s="12">
        <v>0</v>
      </c>
      <c r="F38" s="8">
        <v>0</v>
      </c>
      <c r="G38" s="12">
        <v>2</v>
      </c>
      <c r="H38" s="8">
        <v>4.6500000000000004</v>
      </c>
      <c r="I38" s="12">
        <v>0</v>
      </c>
    </row>
    <row r="39" spans="2:9" ht="15" customHeight="1" x14ac:dyDescent="0.2">
      <c r="B39" t="s">
        <v>130</v>
      </c>
      <c r="C39" s="12">
        <v>1</v>
      </c>
      <c r="D39" s="8">
        <v>0.9</v>
      </c>
      <c r="E39" s="12">
        <v>0</v>
      </c>
      <c r="F39" s="8">
        <v>0</v>
      </c>
      <c r="G39" s="12">
        <v>1</v>
      </c>
      <c r="H39" s="8">
        <v>2.33</v>
      </c>
      <c r="I39" s="12">
        <v>0</v>
      </c>
    </row>
    <row r="40" spans="2:9" ht="15" customHeight="1" x14ac:dyDescent="0.2">
      <c r="B40" t="s">
        <v>135</v>
      </c>
      <c r="C40" s="12">
        <v>1</v>
      </c>
      <c r="D40" s="8">
        <v>0.9</v>
      </c>
      <c r="E40" s="12">
        <v>0</v>
      </c>
      <c r="F40" s="8">
        <v>0</v>
      </c>
      <c r="G40" s="12">
        <v>1</v>
      </c>
      <c r="H40" s="8">
        <v>2.33</v>
      </c>
      <c r="I40" s="12">
        <v>0</v>
      </c>
    </row>
    <row r="41" spans="2:9" ht="15" customHeight="1" x14ac:dyDescent="0.2">
      <c r="B41" t="s">
        <v>136</v>
      </c>
      <c r="C41" s="12">
        <v>1</v>
      </c>
      <c r="D41" s="8">
        <v>0.9</v>
      </c>
      <c r="E41" s="12">
        <v>0</v>
      </c>
      <c r="F41" s="8">
        <v>0</v>
      </c>
      <c r="G41" s="12">
        <v>1</v>
      </c>
      <c r="H41" s="8">
        <v>2.33</v>
      </c>
      <c r="I41" s="12">
        <v>0</v>
      </c>
    </row>
    <row r="42" spans="2:9" ht="15" customHeight="1" x14ac:dyDescent="0.2">
      <c r="B42" t="s">
        <v>129</v>
      </c>
      <c r="C42" s="12">
        <v>1</v>
      </c>
      <c r="D42" s="8">
        <v>0.9</v>
      </c>
      <c r="E42" s="12">
        <v>0</v>
      </c>
      <c r="F42" s="8">
        <v>0</v>
      </c>
      <c r="G42" s="12">
        <v>1</v>
      </c>
      <c r="H42" s="8">
        <v>2.33</v>
      </c>
      <c r="I42" s="12">
        <v>0</v>
      </c>
    </row>
    <row r="43" spans="2:9" ht="15" customHeight="1" x14ac:dyDescent="0.2">
      <c r="B43" t="s">
        <v>145</v>
      </c>
      <c r="C43" s="12">
        <v>1</v>
      </c>
      <c r="D43" s="8">
        <v>0.9</v>
      </c>
      <c r="E43" s="12">
        <v>0</v>
      </c>
      <c r="F43" s="8">
        <v>0</v>
      </c>
      <c r="G43" s="12">
        <v>1</v>
      </c>
      <c r="H43" s="8">
        <v>2.33</v>
      </c>
      <c r="I43" s="12">
        <v>0</v>
      </c>
    </row>
    <row r="44" spans="2:9" ht="15" customHeight="1" x14ac:dyDescent="0.2">
      <c r="B44" t="s">
        <v>120</v>
      </c>
      <c r="C44" s="12">
        <v>1</v>
      </c>
      <c r="D44" s="8">
        <v>0.9</v>
      </c>
      <c r="E44" s="12">
        <v>1</v>
      </c>
      <c r="F44" s="8">
        <v>1.52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124</v>
      </c>
      <c r="C45" s="12">
        <v>1</v>
      </c>
      <c r="D45" s="8">
        <v>0.9</v>
      </c>
      <c r="E45" s="12">
        <v>1</v>
      </c>
      <c r="F45" s="8">
        <v>1.52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101</v>
      </c>
      <c r="C46" s="12">
        <v>1</v>
      </c>
      <c r="D46" s="8">
        <v>0.9</v>
      </c>
      <c r="E46" s="12">
        <v>1</v>
      </c>
      <c r="F46" s="8">
        <v>1.52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126</v>
      </c>
      <c r="C47" s="12">
        <v>1</v>
      </c>
      <c r="D47" s="8">
        <v>0.9</v>
      </c>
      <c r="E47" s="12">
        <v>0</v>
      </c>
      <c r="F47" s="8">
        <v>0</v>
      </c>
      <c r="G47" s="12">
        <v>1</v>
      </c>
      <c r="H47" s="8">
        <v>2.33</v>
      </c>
      <c r="I47" s="12">
        <v>0</v>
      </c>
    </row>
    <row r="48" spans="2:9" ht="15" customHeight="1" x14ac:dyDescent="0.2">
      <c r="B48" t="s">
        <v>111</v>
      </c>
      <c r="C48" s="12">
        <v>1</v>
      </c>
      <c r="D48" s="8">
        <v>0.9</v>
      </c>
      <c r="E48" s="12">
        <v>0</v>
      </c>
      <c r="F48" s="8">
        <v>0</v>
      </c>
      <c r="G48" s="12">
        <v>1</v>
      </c>
      <c r="H48" s="8">
        <v>2.33</v>
      </c>
      <c r="I48" s="12">
        <v>0</v>
      </c>
    </row>
    <row r="49" spans="2:9" ht="15" customHeight="1" x14ac:dyDescent="0.2">
      <c r="B49" t="s">
        <v>151</v>
      </c>
      <c r="C49" s="12">
        <v>1</v>
      </c>
      <c r="D49" s="8">
        <v>0.9</v>
      </c>
      <c r="E49" s="12">
        <v>0</v>
      </c>
      <c r="F49" s="8">
        <v>0</v>
      </c>
      <c r="G49" s="12">
        <v>1</v>
      </c>
      <c r="H49" s="8">
        <v>2.33</v>
      </c>
      <c r="I49" s="12">
        <v>0</v>
      </c>
    </row>
    <row r="50" spans="2:9" ht="15" customHeight="1" x14ac:dyDescent="0.2">
      <c r="B50" t="s">
        <v>121</v>
      </c>
      <c r="C50" s="12">
        <v>1</v>
      </c>
      <c r="D50" s="8">
        <v>0.9</v>
      </c>
      <c r="E50" s="12">
        <v>1</v>
      </c>
      <c r="F50" s="8">
        <v>1.52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115</v>
      </c>
      <c r="C51" s="12">
        <v>1</v>
      </c>
      <c r="D51" s="8">
        <v>0.9</v>
      </c>
      <c r="E51" s="12">
        <v>1</v>
      </c>
      <c r="F51" s="8">
        <v>1.52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147</v>
      </c>
      <c r="C52" s="12">
        <v>1</v>
      </c>
      <c r="D52" s="8">
        <v>0.9</v>
      </c>
      <c r="E52" s="12">
        <v>0</v>
      </c>
      <c r="F52" s="8">
        <v>0</v>
      </c>
      <c r="G52" s="12">
        <v>1</v>
      </c>
      <c r="H52" s="8">
        <v>2.33</v>
      </c>
      <c r="I52" s="12">
        <v>0</v>
      </c>
    </row>
    <row r="53" spans="2:9" ht="15" customHeight="1" x14ac:dyDescent="0.2">
      <c r="B53" t="s">
        <v>117</v>
      </c>
      <c r="C53" s="12">
        <v>1</v>
      </c>
      <c r="D53" s="8">
        <v>0.9</v>
      </c>
      <c r="E53" s="12">
        <v>0</v>
      </c>
      <c r="F53" s="8">
        <v>0</v>
      </c>
      <c r="G53" s="12">
        <v>1</v>
      </c>
      <c r="H53" s="8">
        <v>2.33</v>
      </c>
      <c r="I53" s="12">
        <v>0</v>
      </c>
    </row>
    <row r="54" spans="2:9" ht="15" customHeight="1" x14ac:dyDescent="0.2">
      <c r="B54" t="s">
        <v>149</v>
      </c>
      <c r="C54" s="12">
        <v>1</v>
      </c>
      <c r="D54" s="8">
        <v>0.9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7" spans="2:9" ht="33" customHeight="1" x14ac:dyDescent="0.2">
      <c r="B57" t="s">
        <v>287</v>
      </c>
      <c r="C57" s="10" t="s">
        <v>91</v>
      </c>
      <c r="D57" s="10" t="s">
        <v>92</v>
      </c>
      <c r="E57" s="10" t="s">
        <v>93</v>
      </c>
      <c r="F57" s="10" t="s">
        <v>94</v>
      </c>
      <c r="G57" s="10" t="s">
        <v>95</v>
      </c>
      <c r="H57" s="10" t="s">
        <v>96</v>
      </c>
      <c r="I57" s="10" t="s">
        <v>97</v>
      </c>
    </row>
    <row r="58" spans="2:9" ht="15" customHeight="1" x14ac:dyDescent="0.2">
      <c r="B58" t="s">
        <v>154</v>
      </c>
      <c r="C58" s="12">
        <v>10</v>
      </c>
      <c r="D58" s="8">
        <v>9.01</v>
      </c>
      <c r="E58" s="12">
        <v>3</v>
      </c>
      <c r="F58" s="8">
        <v>4.55</v>
      </c>
      <c r="G58" s="12">
        <v>7</v>
      </c>
      <c r="H58" s="8">
        <v>16.28</v>
      </c>
      <c r="I58" s="12">
        <v>0</v>
      </c>
    </row>
    <row r="59" spans="2:9" ht="15" customHeight="1" x14ac:dyDescent="0.2">
      <c r="B59" t="s">
        <v>158</v>
      </c>
      <c r="C59" s="12">
        <v>6</v>
      </c>
      <c r="D59" s="8">
        <v>5.41</v>
      </c>
      <c r="E59" s="12">
        <v>6</v>
      </c>
      <c r="F59" s="8">
        <v>9.09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170</v>
      </c>
      <c r="C60" s="12">
        <v>6</v>
      </c>
      <c r="D60" s="8">
        <v>5.41</v>
      </c>
      <c r="E60" s="12">
        <v>6</v>
      </c>
      <c r="F60" s="8">
        <v>9.09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169</v>
      </c>
      <c r="C61" s="12">
        <v>5</v>
      </c>
      <c r="D61" s="8">
        <v>4.5</v>
      </c>
      <c r="E61" s="12">
        <v>5</v>
      </c>
      <c r="F61" s="8">
        <v>7.58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173</v>
      </c>
      <c r="C62" s="12">
        <v>5</v>
      </c>
      <c r="D62" s="8">
        <v>4.5</v>
      </c>
      <c r="E62" s="12">
        <v>5</v>
      </c>
      <c r="F62" s="8">
        <v>7.58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186</v>
      </c>
      <c r="C63" s="12">
        <v>4</v>
      </c>
      <c r="D63" s="8">
        <v>3.6</v>
      </c>
      <c r="E63" s="12">
        <v>3</v>
      </c>
      <c r="F63" s="8">
        <v>4.55</v>
      </c>
      <c r="G63" s="12">
        <v>1</v>
      </c>
      <c r="H63" s="8">
        <v>2.33</v>
      </c>
      <c r="I63" s="12">
        <v>0</v>
      </c>
    </row>
    <row r="64" spans="2:9" ht="15" customHeight="1" x14ac:dyDescent="0.2">
      <c r="B64" t="s">
        <v>159</v>
      </c>
      <c r="C64" s="12">
        <v>4</v>
      </c>
      <c r="D64" s="8">
        <v>3.6</v>
      </c>
      <c r="E64" s="12">
        <v>4</v>
      </c>
      <c r="F64" s="8">
        <v>6.06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204</v>
      </c>
      <c r="C65" s="12">
        <v>4</v>
      </c>
      <c r="D65" s="8">
        <v>3.6</v>
      </c>
      <c r="E65" s="12">
        <v>0</v>
      </c>
      <c r="F65" s="8">
        <v>0</v>
      </c>
      <c r="G65" s="12">
        <v>4</v>
      </c>
      <c r="H65" s="8">
        <v>9.3000000000000007</v>
      </c>
      <c r="I65" s="12">
        <v>0</v>
      </c>
    </row>
    <row r="66" spans="2:9" ht="15" customHeight="1" x14ac:dyDescent="0.2">
      <c r="B66" t="s">
        <v>155</v>
      </c>
      <c r="C66" s="12">
        <v>3</v>
      </c>
      <c r="D66" s="8">
        <v>2.7</v>
      </c>
      <c r="E66" s="12">
        <v>2</v>
      </c>
      <c r="F66" s="8">
        <v>3.03</v>
      </c>
      <c r="G66" s="12">
        <v>1</v>
      </c>
      <c r="H66" s="8">
        <v>2.33</v>
      </c>
      <c r="I66" s="12">
        <v>0</v>
      </c>
    </row>
    <row r="67" spans="2:9" ht="15" customHeight="1" x14ac:dyDescent="0.2">
      <c r="B67" t="s">
        <v>156</v>
      </c>
      <c r="C67" s="12">
        <v>3</v>
      </c>
      <c r="D67" s="8">
        <v>2.7</v>
      </c>
      <c r="E67" s="12">
        <v>2</v>
      </c>
      <c r="F67" s="8">
        <v>3.03</v>
      </c>
      <c r="G67" s="12">
        <v>1</v>
      </c>
      <c r="H67" s="8">
        <v>2.33</v>
      </c>
      <c r="I67" s="12">
        <v>0</v>
      </c>
    </row>
    <row r="68" spans="2:9" ht="15" customHeight="1" x14ac:dyDescent="0.2">
      <c r="B68" t="s">
        <v>185</v>
      </c>
      <c r="C68" s="12">
        <v>3</v>
      </c>
      <c r="D68" s="8">
        <v>2.7</v>
      </c>
      <c r="E68" s="12">
        <v>1</v>
      </c>
      <c r="F68" s="8">
        <v>1.52</v>
      </c>
      <c r="G68" s="12">
        <v>2</v>
      </c>
      <c r="H68" s="8">
        <v>4.6500000000000004</v>
      </c>
      <c r="I68" s="12">
        <v>0</v>
      </c>
    </row>
    <row r="69" spans="2:9" ht="15" customHeight="1" x14ac:dyDescent="0.2">
      <c r="B69" t="s">
        <v>181</v>
      </c>
      <c r="C69" s="12">
        <v>3</v>
      </c>
      <c r="D69" s="8">
        <v>2.7</v>
      </c>
      <c r="E69" s="12">
        <v>3</v>
      </c>
      <c r="F69" s="8">
        <v>4.55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205</v>
      </c>
      <c r="C70" s="12">
        <v>3</v>
      </c>
      <c r="D70" s="8">
        <v>2.7</v>
      </c>
      <c r="E70" s="12">
        <v>0</v>
      </c>
      <c r="F70" s="8">
        <v>0</v>
      </c>
      <c r="G70" s="12">
        <v>3</v>
      </c>
      <c r="H70" s="8">
        <v>6.98</v>
      </c>
      <c r="I70" s="12">
        <v>0</v>
      </c>
    </row>
    <row r="71" spans="2:9" ht="15" customHeight="1" x14ac:dyDescent="0.2">
      <c r="B71" t="s">
        <v>281</v>
      </c>
      <c r="C71" s="12">
        <v>3</v>
      </c>
      <c r="D71" s="8">
        <v>2.7</v>
      </c>
      <c r="E71" s="12">
        <v>3</v>
      </c>
      <c r="F71" s="8">
        <v>4.55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202</v>
      </c>
      <c r="C72" s="12">
        <v>2</v>
      </c>
      <c r="D72" s="8">
        <v>1.8</v>
      </c>
      <c r="E72" s="12">
        <v>2</v>
      </c>
      <c r="F72" s="8">
        <v>3.03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203</v>
      </c>
      <c r="C73" s="12">
        <v>2</v>
      </c>
      <c r="D73" s="8">
        <v>1.8</v>
      </c>
      <c r="E73" s="12">
        <v>1</v>
      </c>
      <c r="F73" s="8">
        <v>1.52</v>
      </c>
      <c r="G73" s="12">
        <v>1</v>
      </c>
      <c r="H73" s="8">
        <v>2.33</v>
      </c>
      <c r="I73" s="12">
        <v>0</v>
      </c>
    </row>
    <row r="74" spans="2:9" ht="15" customHeight="1" x14ac:dyDescent="0.2">
      <c r="B74" t="s">
        <v>157</v>
      </c>
      <c r="C74" s="12">
        <v>2</v>
      </c>
      <c r="D74" s="8">
        <v>1.8</v>
      </c>
      <c r="E74" s="12">
        <v>2</v>
      </c>
      <c r="F74" s="8">
        <v>3.03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267</v>
      </c>
      <c r="C75" s="12">
        <v>2</v>
      </c>
      <c r="D75" s="8">
        <v>1.8</v>
      </c>
      <c r="E75" s="12">
        <v>2</v>
      </c>
      <c r="F75" s="8">
        <v>3.03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160</v>
      </c>
      <c r="C76" s="12">
        <v>2</v>
      </c>
      <c r="D76" s="8">
        <v>1.8</v>
      </c>
      <c r="E76" s="12">
        <v>0</v>
      </c>
      <c r="F76" s="8">
        <v>0</v>
      </c>
      <c r="G76" s="12">
        <v>2</v>
      </c>
      <c r="H76" s="8">
        <v>4.6500000000000004</v>
      </c>
      <c r="I76" s="12">
        <v>0</v>
      </c>
    </row>
    <row r="77" spans="2:9" ht="15" customHeight="1" x14ac:dyDescent="0.2">
      <c r="B77" t="s">
        <v>161</v>
      </c>
      <c r="C77" s="12">
        <v>2</v>
      </c>
      <c r="D77" s="8">
        <v>1.8</v>
      </c>
      <c r="E77" s="12">
        <v>1</v>
      </c>
      <c r="F77" s="8">
        <v>1.52</v>
      </c>
      <c r="G77" s="12">
        <v>1</v>
      </c>
      <c r="H77" s="8">
        <v>2.33</v>
      </c>
      <c r="I77" s="12">
        <v>0</v>
      </c>
    </row>
    <row r="78" spans="2:9" ht="15" customHeight="1" x14ac:dyDescent="0.2">
      <c r="B78" t="s">
        <v>244</v>
      </c>
      <c r="C78" s="12">
        <v>2</v>
      </c>
      <c r="D78" s="8">
        <v>1.8</v>
      </c>
      <c r="E78" s="12">
        <v>0</v>
      </c>
      <c r="F78" s="8">
        <v>0</v>
      </c>
      <c r="G78" s="12">
        <v>2</v>
      </c>
      <c r="H78" s="8">
        <v>4.6500000000000004</v>
      </c>
      <c r="I78" s="12">
        <v>0</v>
      </c>
    </row>
    <row r="79" spans="2:9" ht="15" customHeight="1" x14ac:dyDescent="0.2">
      <c r="B79" t="s">
        <v>231</v>
      </c>
      <c r="C79" s="12">
        <v>2</v>
      </c>
      <c r="D79" s="8">
        <v>1.8</v>
      </c>
      <c r="E79" s="12">
        <v>1</v>
      </c>
      <c r="F79" s="8">
        <v>1.52</v>
      </c>
      <c r="G79" s="12">
        <v>1</v>
      </c>
      <c r="H79" s="8">
        <v>2.33</v>
      </c>
      <c r="I79" s="12">
        <v>0</v>
      </c>
    </row>
    <row r="81" spans="2:2" ht="15" customHeight="1" x14ac:dyDescent="0.2">
      <c r="B81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6C2F4-97BB-4CE5-AC2D-9CF49FCBB7BE}">
  <sheetPr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362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94</v>
      </c>
      <c r="D6" s="8">
        <v>25.13</v>
      </c>
      <c r="E6" s="12">
        <v>37</v>
      </c>
      <c r="F6" s="8">
        <v>16.09</v>
      </c>
      <c r="G6" s="12">
        <v>57</v>
      </c>
      <c r="H6" s="8">
        <v>42.86</v>
      </c>
      <c r="I6" s="12">
        <v>0</v>
      </c>
    </row>
    <row r="7" spans="2:9" ht="15" customHeight="1" x14ac:dyDescent="0.2">
      <c r="B7" t="s">
        <v>77</v>
      </c>
      <c r="C7" s="12">
        <v>18</v>
      </c>
      <c r="D7" s="8">
        <v>4.8099999999999996</v>
      </c>
      <c r="E7" s="12">
        <v>9</v>
      </c>
      <c r="F7" s="8">
        <v>3.91</v>
      </c>
      <c r="G7" s="12">
        <v>9</v>
      </c>
      <c r="H7" s="8">
        <v>6.77</v>
      </c>
      <c r="I7" s="12">
        <v>0</v>
      </c>
    </row>
    <row r="8" spans="2:9" ht="15" customHeight="1" x14ac:dyDescent="0.2">
      <c r="B8" t="s">
        <v>78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79</v>
      </c>
      <c r="C9" s="12">
        <v>2</v>
      </c>
      <c r="D9" s="8">
        <v>0.53</v>
      </c>
      <c r="E9" s="12">
        <v>0</v>
      </c>
      <c r="F9" s="8">
        <v>0</v>
      </c>
      <c r="G9" s="12">
        <v>2</v>
      </c>
      <c r="H9" s="8">
        <v>1.5</v>
      </c>
      <c r="I9" s="12">
        <v>0</v>
      </c>
    </row>
    <row r="10" spans="2:9" ht="15" customHeight="1" x14ac:dyDescent="0.2">
      <c r="B10" t="s">
        <v>80</v>
      </c>
      <c r="C10" s="12">
        <v>3</v>
      </c>
      <c r="D10" s="8">
        <v>0.8</v>
      </c>
      <c r="E10" s="12">
        <v>2</v>
      </c>
      <c r="F10" s="8">
        <v>0.87</v>
      </c>
      <c r="G10" s="12">
        <v>1</v>
      </c>
      <c r="H10" s="8">
        <v>0.75</v>
      </c>
      <c r="I10" s="12">
        <v>0</v>
      </c>
    </row>
    <row r="11" spans="2:9" ht="15" customHeight="1" x14ac:dyDescent="0.2">
      <c r="B11" t="s">
        <v>81</v>
      </c>
      <c r="C11" s="12">
        <v>91</v>
      </c>
      <c r="D11" s="8">
        <v>24.33</v>
      </c>
      <c r="E11" s="12">
        <v>61</v>
      </c>
      <c r="F11" s="8">
        <v>26.52</v>
      </c>
      <c r="G11" s="12">
        <v>29</v>
      </c>
      <c r="H11" s="8">
        <v>21.8</v>
      </c>
      <c r="I11" s="12">
        <v>1</v>
      </c>
    </row>
    <row r="12" spans="2:9" ht="15" customHeight="1" x14ac:dyDescent="0.2">
      <c r="B12" t="s">
        <v>82</v>
      </c>
      <c r="C12" s="12">
        <v>2</v>
      </c>
      <c r="D12" s="8">
        <v>0.53</v>
      </c>
      <c r="E12" s="12">
        <v>0</v>
      </c>
      <c r="F12" s="8">
        <v>0</v>
      </c>
      <c r="G12" s="12">
        <v>2</v>
      </c>
      <c r="H12" s="8">
        <v>1.5</v>
      </c>
      <c r="I12" s="12">
        <v>0</v>
      </c>
    </row>
    <row r="13" spans="2:9" ht="15" customHeight="1" x14ac:dyDescent="0.2">
      <c r="B13" t="s">
        <v>83</v>
      </c>
      <c r="C13" s="12">
        <v>14</v>
      </c>
      <c r="D13" s="8">
        <v>3.74</v>
      </c>
      <c r="E13" s="12">
        <v>6</v>
      </c>
      <c r="F13" s="8">
        <v>2.61</v>
      </c>
      <c r="G13" s="12">
        <v>7</v>
      </c>
      <c r="H13" s="8">
        <v>5.26</v>
      </c>
      <c r="I13" s="12">
        <v>0</v>
      </c>
    </row>
    <row r="14" spans="2:9" ht="15" customHeight="1" x14ac:dyDescent="0.2">
      <c r="B14" t="s">
        <v>84</v>
      </c>
      <c r="C14" s="12">
        <v>9</v>
      </c>
      <c r="D14" s="8">
        <v>2.41</v>
      </c>
      <c r="E14" s="12">
        <v>4</v>
      </c>
      <c r="F14" s="8">
        <v>1.74</v>
      </c>
      <c r="G14" s="12">
        <v>5</v>
      </c>
      <c r="H14" s="8">
        <v>3.76</v>
      </c>
      <c r="I14" s="12">
        <v>0</v>
      </c>
    </row>
    <row r="15" spans="2:9" ht="15" customHeight="1" x14ac:dyDescent="0.2">
      <c r="B15" t="s">
        <v>85</v>
      </c>
      <c r="C15" s="12">
        <v>40</v>
      </c>
      <c r="D15" s="8">
        <v>10.7</v>
      </c>
      <c r="E15" s="12">
        <v>37</v>
      </c>
      <c r="F15" s="8">
        <v>16.09</v>
      </c>
      <c r="G15" s="12">
        <v>3</v>
      </c>
      <c r="H15" s="8">
        <v>2.2599999999999998</v>
      </c>
      <c r="I15" s="12">
        <v>0</v>
      </c>
    </row>
    <row r="16" spans="2:9" ht="15" customHeight="1" x14ac:dyDescent="0.2">
      <c r="B16" t="s">
        <v>86</v>
      </c>
      <c r="C16" s="12">
        <v>50</v>
      </c>
      <c r="D16" s="8">
        <v>13.37</v>
      </c>
      <c r="E16" s="12">
        <v>40</v>
      </c>
      <c r="F16" s="8">
        <v>17.39</v>
      </c>
      <c r="G16" s="12">
        <v>8</v>
      </c>
      <c r="H16" s="8">
        <v>6.02</v>
      </c>
      <c r="I16" s="12">
        <v>0</v>
      </c>
    </row>
    <row r="17" spans="2:9" ht="15" customHeight="1" x14ac:dyDescent="0.2">
      <c r="B17" t="s">
        <v>87</v>
      </c>
      <c r="C17" s="12">
        <v>14</v>
      </c>
      <c r="D17" s="8">
        <v>3.74</v>
      </c>
      <c r="E17" s="12">
        <v>10</v>
      </c>
      <c r="F17" s="8">
        <v>4.3499999999999996</v>
      </c>
      <c r="G17" s="12">
        <v>1</v>
      </c>
      <c r="H17" s="8">
        <v>0.75</v>
      </c>
      <c r="I17" s="12">
        <v>1</v>
      </c>
    </row>
    <row r="18" spans="2:9" ht="15" customHeight="1" x14ac:dyDescent="0.2">
      <c r="B18" t="s">
        <v>88</v>
      </c>
      <c r="C18" s="12">
        <v>24</v>
      </c>
      <c r="D18" s="8">
        <v>6.42</v>
      </c>
      <c r="E18" s="12">
        <v>15</v>
      </c>
      <c r="F18" s="8">
        <v>6.52</v>
      </c>
      <c r="G18" s="12">
        <v>7</v>
      </c>
      <c r="H18" s="8">
        <v>5.26</v>
      </c>
      <c r="I18" s="12">
        <v>0</v>
      </c>
    </row>
    <row r="19" spans="2:9" ht="15" customHeight="1" x14ac:dyDescent="0.2">
      <c r="B19" t="s">
        <v>89</v>
      </c>
      <c r="C19" s="12">
        <v>13</v>
      </c>
      <c r="D19" s="8">
        <v>3.48</v>
      </c>
      <c r="E19" s="12">
        <v>9</v>
      </c>
      <c r="F19" s="8">
        <v>3.91</v>
      </c>
      <c r="G19" s="12">
        <v>2</v>
      </c>
      <c r="H19" s="8">
        <v>1.5</v>
      </c>
      <c r="I19" s="12">
        <v>0</v>
      </c>
    </row>
    <row r="20" spans="2:9" ht="15" customHeight="1" x14ac:dyDescent="0.2">
      <c r="B20" s="9" t="s">
        <v>285</v>
      </c>
      <c r="C20" s="12">
        <f>SUM(LTBL_40647[総数／事業所数])</f>
        <v>374</v>
      </c>
      <c r="E20" s="12">
        <f>SUBTOTAL(109,LTBL_40647[個人／事業所数])</f>
        <v>230</v>
      </c>
      <c r="G20" s="12">
        <f>SUBTOTAL(109,LTBL_40647[法人／事業所数])</f>
        <v>133</v>
      </c>
      <c r="I20" s="12">
        <f>SUBTOTAL(109,LTBL_40647[法人以外の団体／事業所数])</f>
        <v>2</v>
      </c>
    </row>
    <row r="21" spans="2:9" ht="15" customHeight="1" x14ac:dyDescent="0.2">
      <c r="E21" s="11">
        <f>LTBL_40647[[#Totals],[個人／事業所数]]/LTBL_40647[[#Totals],[総数／事業所数]]</f>
        <v>0.61497326203208558</v>
      </c>
      <c r="G21" s="11">
        <f>LTBL_40647[[#Totals],[法人／事業所数]]/LTBL_40647[[#Totals],[総数／事業所数]]</f>
        <v>0.35561497326203206</v>
      </c>
      <c r="I21" s="11">
        <f>LTBL_40647[[#Totals],[法人以外の団体／事業所数]]/LTBL_40647[[#Totals],[総数／事業所数]]</f>
        <v>5.3475935828877002E-3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98</v>
      </c>
      <c r="C24" s="12">
        <v>67</v>
      </c>
      <c r="D24" s="8">
        <v>17.91</v>
      </c>
      <c r="E24" s="12">
        <v>22</v>
      </c>
      <c r="F24" s="8">
        <v>9.57</v>
      </c>
      <c r="G24" s="12">
        <v>45</v>
      </c>
      <c r="H24" s="8">
        <v>33.83</v>
      </c>
      <c r="I24" s="12">
        <v>0</v>
      </c>
    </row>
    <row r="25" spans="2:9" ht="15" customHeight="1" x14ac:dyDescent="0.2">
      <c r="B25" t="s">
        <v>113</v>
      </c>
      <c r="C25" s="12">
        <v>43</v>
      </c>
      <c r="D25" s="8">
        <v>11.5</v>
      </c>
      <c r="E25" s="12">
        <v>37</v>
      </c>
      <c r="F25" s="8">
        <v>16.09</v>
      </c>
      <c r="G25" s="12">
        <v>6</v>
      </c>
      <c r="H25" s="8">
        <v>4.51</v>
      </c>
      <c r="I25" s="12">
        <v>0</v>
      </c>
    </row>
    <row r="26" spans="2:9" ht="15" customHeight="1" x14ac:dyDescent="0.2">
      <c r="B26" t="s">
        <v>112</v>
      </c>
      <c r="C26" s="12">
        <v>34</v>
      </c>
      <c r="D26" s="8">
        <v>9.09</v>
      </c>
      <c r="E26" s="12">
        <v>34</v>
      </c>
      <c r="F26" s="8">
        <v>14.78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105</v>
      </c>
      <c r="C27" s="12">
        <v>30</v>
      </c>
      <c r="D27" s="8">
        <v>8.02</v>
      </c>
      <c r="E27" s="12">
        <v>27</v>
      </c>
      <c r="F27" s="8">
        <v>11.74</v>
      </c>
      <c r="G27" s="12">
        <v>2</v>
      </c>
      <c r="H27" s="8">
        <v>1.5</v>
      </c>
      <c r="I27" s="12">
        <v>1</v>
      </c>
    </row>
    <row r="28" spans="2:9" ht="15" customHeight="1" x14ac:dyDescent="0.2">
      <c r="B28" t="s">
        <v>107</v>
      </c>
      <c r="C28" s="12">
        <v>30</v>
      </c>
      <c r="D28" s="8">
        <v>8.02</v>
      </c>
      <c r="E28" s="12">
        <v>19</v>
      </c>
      <c r="F28" s="8">
        <v>8.26</v>
      </c>
      <c r="G28" s="12">
        <v>11</v>
      </c>
      <c r="H28" s="8">
        <v>8.27</v>
      </c>
      <c r="I28" s="12">
        <v>0</v>
      </c>
    </row>
    <row r="29" spans="2:9" ht="15" customHeight="1" x14ac:dyDescent="0.2">
      <c r="B29" t="s">
        <v>99</v>
      </c>
      <c r="C29" s="12">
        <v>17</v>
      </c>
      <c r="D29" s="8">
        <v>4.55</v>
      </c>
      <c r="E29" s="12">
        <v>11</v>
      </c>
      <c r="F29" s="8">
        <v>4.78</v>
      </c>
      <c r="G29" s="12">
        <v>6</v>
      </c>
      <c r="H29" s="8">
        <v>4.51</v>
      </c>
      <c r="I29" s="12">
        <v>0</v>
      </c>
    </row>
    <row r="30" spans="2:9" ht="15" customHeight="1" x14ac:dyDescent="0.2">
      <c r="B30" t="s">
        <v>115</v>
      </c>
      <c r="C30" s="12">
        <v>15</v>
      </c>
      <c r="D30" s="8">
        <v>4.01</v>
      </c>
      <c r="E30" s="12">
        <v>15</v>
      </c>
      <c r="F30" s="8">
        <v>6.52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114</v>
      </c>
      <c r="C31" s="12">
        <v>14</v>
      </c>
      <c r="D31" s="8">
        <v>3.74</v>
      </c>
      <c r="E31" s="12">
        <v>10</v>
      </c>
      <c r="F31" s="8">
        <v>4.3499999999999996</v>
      </c>
      <c r="G31" s="12">
        <v>1</v>
      </c>
      <c r="H31" s="8">
        <v>0.75</v>
      </c>
      <c r="I31" s="12">
        <v>1</v>
      </c>
    </row>
    <row r="32" spans="2:9" ht="15" customHeight="1" x14ac:dyDescent="0.2">
      <c r="B32" t="s">
        <v>106</v>
      </c>
      <c r="C32" s="12">
        <v>12</v>
      </c>
      <c r="D32" s="8">
        <v>3.21</v>
      </c>
      <c r="E32" s="12">
        <v>8</v>
      </c>
      <c r="F32" s="8">
        <v>3.48</v>
      </c>
      <c r="G32" s="12">
        <v>4</v>
      </c>
      <c r="H32" s="8">
        <v>3.01</v>
      </c>
      <c r="I32" s="12">
        <v>0</v>
      </c>
    </row>
    <row r="33" spans="2:9" ht="15" customHeight="1" x14ac:dyDescent="0.2">
      <c r="B33" t="s">
        <v>100</v>
      </c>
      <c r="C33" s="12">
        <v>10</v>
      </c>
      <c r="D33" s="8">
        <v>2.67</v>
      </c>
      <c r="E33" s="12">
        <v>4</v>
      </c>
      <c r="F33" s="8">
        <v>1.74</v>
      </c>
      <c r="G33" s="12">
        <v>6</v>
      </c>
      <c r="H33" s="8">
        <v>4.51</v>
      </c>
      <c r="I33" s="12">
        <v>0</v>
      </c>
    </row>
    <row r="34" spans="2:9" ht="15" customHeight="1" x14ac:dyDescent="0.2">
      <c r="B34" t="s">
        <v>109</v>
      </c>
      <c r="C34" s="12">
        <v>10</v>
      </c>
      <c r="D34" s="8">
        <v>2.67</v>
      </c>
      <c r="E34" s="12">
        <v>4</v>
      </c>
      <c r="F34" s="8">
        <v>1.74</v>
      </c>
      <c r="G34" s="12">
        <v>5</v>
      </c>
      <c r="H34" s="8">
        <v>3.76</v>
      </c>
      <c r="I34" s="12">
        <v>0</v>
      </c>
    </row>
    <row r="35" spans="2:9" ht="15" customHeight="1" x14ac:dyDescent="0.2">
      <c r="B35" t="s">
        <v>116</v>
      </c>
      <c r="C35" s="12">
        <v>9</v>
      </c>
      <c r="D35" s="8">
        <v>2.41</v>
      </c>
      <c r="E35" s="12">
        <v>0</v>
      </c>
      <c r="F35" s="8">
        <v>0</v>
      </c>
      <c r="G35" s="12">
        <v>7</v>
      </c>
      <c r="H35" s="8">
        <v>5.26</v>
      </c>
      <c r="I35" s="12">
        <v>0</v>
      </c>
    </row>
    <row r="36" spans="2:9" ht="15" customHeight="1" x14ac:dyDescent="0.2">
      <c r="B36" t="s">
        <v>123</v>
      </c>
      <c r="C36" s="12">
        <v>8</v>
      </c>
      <c r="D36" s="8">
        <v>2.14</v>
      </c>
      <c r="E36" s="12">
        <v>8</v>
      </c>
      <c r="F36" s="8">
        <v>3.48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101</v>
      </c>
      <c r="C37" s="12">
        <v>7</v>
      </c>
      <c r="D37" s="8">
        <v>1.87</v>
      </c>
      <c r="E37" s="12">
        <v>3</v>
      </c>
      <c r="F37" s="8">
        <v>1.3</v>
      </c>
      <c r="G37" s="12">
        <v>4</v>
      </c>
      <c r="H37" s="8">
        <v>3.01</v>
      </c>
      <c r="I37" s="12">
        <v>0</v>
      </c>
    </row>
    <row r="38" spans="2:9" ht="15" customHeight="1" x14ac:dyDescent="0.2">
      <c r="B38" t="s">
        <v>111</v>
      </c>
      <c r="C38" s="12">
        <v>7</v>
      </c>
      <c r="D38" s="8">
        <v>1.87</v>
      </c>
      <c r="E38" s="12">
        <v>2</v>
      </c>
      <c r="F38" s="8">
        <v>0.87</v>
      </c>
      <c r="G38" s="12">
        <v>5</v>
      </c>
      <c r="H38" s="8">
        <v>3.76</v>
      </c>
      <c r="I38" s="12">
        <v>0</v>
      </c>
    </row>
    <row r="39" spans="2:9" ht="15" customHeight="1" x14ac:dyDescent="0.2">
      <c r="B39" t="s">
        <v>130</v>
      </c>
      <c r="C39" s="12">
        <v>6</v>
      </c>
      <c r="D39" s="8">
        <v>1.6</v>
      </c>
      <c r="E39" s="12">
        <v>4</v>
      </c>
      <c r="F39" s="8">
        <v>1.74</v>
      </c>
      <c r="G39" s="12">
        <v>2</v>
      </c>
      <c r="H39" s="8">
        <v>1.5</v>
      </c>
      <c r="I39" s="12">
        <v>0</v>
      </c>
    </row>
    <row r="40" spans="2:9" ht="15" customHeight="1" x14ac:dyDescent="0.2">
      <c r="B40" t="s">
        <v>104</v>
      </c>
      <c r="C40" s="12">
        <v>4</v>
      </c>
      <c r="D40" s="8">
        <v>1.07</v>
      </c>
      <c r="E40" s="12">
        <v>2</v>
      </c>
      <c r="F40" s="8">
        <v>0.87</v>
      </c>
      <c r="G40" s="12">
        <v>2</v>
      </c>
      <c r="H40" s="8">
        <v>1.5</v>
      </c>
      <c r="I40" s="12">
        <v>0</v>
      </c>
    </row>
    <row r="41" spans="2:9" ht="15" customHeight="1" x14ac:dyDescent="0.2">
      <c r="B41" t="s">
        <v>121</v>
      </c>
      <c r="C41" s="12">
        <v>4</v>
      </c>
      <c r="D41" s="8">
        <v>1.07</v>
      </c>
      <c r="E41" s="12">
        <v>2</v>
      </c>
      <c r="F41" s="8">
        <v>0.87</v>
      </c>
      <c r="G41" s="12">
        <v>2</v>
      </c>
      <c r="H41" s="8">
        <v>1.5</v>
      </c>
      <c r="I41" s="12">
        <v>0</v>
      </c>
    </row>
    <row r="42" spans="2:9" ht="15" customHeight="1" x14ac:dyDescent="0.2">
      <c r="B42" t="s">
        <v>118</v>
      </c>
      <c r="C42" s="12">
        <v>4</v>
      </c>
      <c r="D42" s="8">
        <v>1.07</v>
      </c>
      <c r="E42" s="12">
        <v>2</v>
      </c>
      <c r="F42" s="8">
        <v>0.87</v>
      </c>
      <c r="G42" s="12">
        <v>1</v>
      </c>
      <c r="H42" s="8">
        <v>0.75</v>
      </c>
      <c r="I42" s="12">
        <v>0</v>
      </c>
    </row>
    <row r="43" spans="2:9" ht="15" customHeight="1" x14ac:dyDescent="0.2">
      <c r="B43" t="s">
        <v>142</v>
      </c>
      <c r="C43" s="12">
        <v>3</v>
      </c>
      <c r="D43" s="8">
        <v>0.8</v>
      </c>
      <c r="E43" s="12">
        <v>2</v>
      </c>
      <c r="F43" s="8">
        <v>0.87</v>
      </c>
      <c r="G43" s="12">
        <v>1</v>
      </c>
      <c r="H43" s="8">
        <v>0.75</v>
      </c>
      <c r="I43" s="12">
        <v>0</v>
      </c>
    </row>
    <row r="44" spans="2:9" ht="15" customHeight="1" x14ac:dyDescent="0.2">
      <c r="B44" t="s">
        <v>137</v>
      </c>
      <c r="C44" s="12">
        <v>3</v>
      </c>
      <c r="D44" s="8">
        <v>0.8</v>
      </c>
      <c r="E44" s="12">
        <v>2</v>
      </c>
      <c r="F44" s="8">
        <v>0.87</v>
      </c>
      <c r="G44" s="12">
        <v>1</v>
      </c>
      <c r="H44" s="8">
        <v>0.75</v>
      </c>
      <c r="I44" s="12">
        <v>0</v>
      </c>
    </row>
    <row r="45" spans="2:9" ht="15" customHeight="1" x14ac:dyDescent="0.2">
      <c r="B45" t="s">
        <v>124</v>
      </c>
      <c r="C45" s="12">
        <v>3</v>
      </c>
      <c r="D45" s="8">
        <v>0.8</v>
      </c>
      <c r="E45" s="12">
        <v>1</v>
      </c>
      <c r="F45" s="8">
        <v>0.43</v>
      </c>
      <c r="G45" s="12">
        <v>2</v>
      </c>
      <c r="H45" s="8">
        <v>1.5</v>
      </c>
      <c r="I45" s="12">
        <v>0</v>
      </c>
    </row>
    <row r="46" spans="2:9" ht="15" customHeight="1" x14ac:dyDescent="0.2">
      <c r="B46" t="s">
        <v>103</v>
      </c>
      <c r="C46" s="12">
        <v>3</v>
      </c>
      <c r="D46" s="8">
        <v>0.8</v>
      </c>
      <c r="E46" s="12">
        <v>0</v>
      </c>
      <c r="F46" s="8">
        <v>0</v>
      </c>
      <c r="G46" s="12">
        <v>3</v>
      </c>
      <c r="H46" s="8">
        <v>2.2599999999999998</v>
      </c>
      <c r="I46" s="12">
        <v>0</v>
      </c>
    </row>
    <row r="47" spans="2:9" ht="15" customHeight="1" x14ac:dyDescent="0.2">
      <c r="B47" t="s">
        <v>140</v>
      </c>
      <c r="C47" s="12">
        <v>3</v>
      </c>
      <c r="D47" s="8">
        <v>0.8</v>
      </c>
      <c r="E47" s="12">
        <v>1</v>
      </c>
      <c r="F47" s="8">
        <v>0.43</v>
      </c>
      <c r="G47" s="12">
        <v>2</v>
      </c>
      <c r="H47" s="8">
        <v>1.5</v>
      </c>
      <c r="I47" s="12">
        <v>0</v>
      </c>
    </row>
    <row r="48" spans="2:9" ht="15" customHeight="1" x14ac:dyDescent="0.2">
      <c r="B48" t="s">
        <v>127</v>
      </c>
      <c r="C48" s="12">
        <v>3</v>
      </c>
      <c r="D48" s="8">
        <v>0.8</v>
      </c>
      <c r="E48" s="12">
        <v>1</v>
      </c>
      <c r="F48" s="8">
        <v>0.43</v>
      </c>
      <c r="G48" s="12">
        <v>1</v>
      </c>
      <c r="H48" s="8">
        <v>0.75</v>
      </c>
      <c r="I48" s="12">
        <v>0</v>
      </c>
    </row>
    <row r="49" spans="2:9" ht="15" customHeight="1" x14ac:dyDescent="0.2">
      <c r="B49" t="s">
        <v>147</v>
      </c>
      <c r="C49" s="12">
        <v>3</v>
      </c>
      <c r="D49" s="8">
        <v>0.8</v>
      </c>
      <c r="E49" s="12">
        <v>1</v>
      </c>
      <c r="F49" s="8">
        <v>0.43</v>
      </c>
      <c r="G49" s="12">
        <v>0</v>
      </c>
      <c r="H49" s="8">
        <v>0</v>
      </c>
      <c r="I49" s="12">
        <v>0</v>
      </c>
    </row>
    <row r="52" spans="2:9" ht="33" customHeight="1" x14ac:dyDescent="0.2">
      <c r="B52" t="s">
        <v>287</v>
      </c>
      <c r="C52" s="10" t="s">
        <v>91</v>
      </c>
      <c r="D52" s="10" t="s">
        <v>92</v>
      </c>
      <c r="E52" s="10" t="s">
        <v>93</v>
      </c>
      <c r="F52" s="10" t="s">
        <v>94</v>
      </c>
      <c r="G52" s="10" t="s">
        <v>95</v>
      </c>
      <c r="H52" s="10" t="s">
        <v>96</v>
      </c>
      <c r="I52" s="10" t="s">
        <v>97</v>
      </c>
    </row>
    <row r="53" spans="2:9" ht="15" customHeight="1" x14ac:dyDescent="0.2">
      <c r="B53" t="s">
        <v>154</v>
      </c>
      <c r="C53" s="12">
        <v>43</v>
      </c>
      <c r="D53" s="8">
        <v>11.5</v>
      </c>
      <c r="E53" s="12">
        <v>14</v>
      </c>
      <c r="F53" s="8">
        <v>6.09</v>
      </c>
      <c r="G53" s="12">
        <v>29</v>
      </c>
      <c r="H53" s="8">
        <v>21.8</v>
      </c>
      <c r="I53" s="12">
        <v>0</v>
      </c>
    </row>
    <row r="54" spans="2:9" ht="15" customHeight="1" x14ac:dyDescent="0.2">
      <c r="B54" t="s">
        <v>170</v>
      </c>
      <c r="C54" s="12">
        <v>19</v>
      </c>
      <c r="D54" s="8">
        <v>5.08</v>
      </c>
      <c r="E54" s="12">
        <v>17</v>
      </c>
      <c r="F54" s="8">
        <v>7.39</v>
      </c>
      <c r="G54" s="12">
        <v>2</v>
      </c>
      <c r="H54" s="8">
        <v>1.5</v>
      </c>
      <c r="I54" s="12">
        <v>0</v>
      </c>
    </row>
    <row r="55" spans="2:9" ht="15" customHeight="1" x14ac:dyDescent="0.2">
      <c r="B55" t="s">
        <v>158</v>
      </c>
      <c r="C55" s="12">
        <v>16</v>
      </c>
      <c r="D55" s="8">
        <v>4.28</v>
      </c>
      <c r="E55" s="12">
        <v>14</v>
      </c>
      <c r="F55" s="8">
        <v>6.09</v>
      </c>
      <c r="G55" s="12">
        <v>1</v>
      </c>
      <c r="H55" s="8">
        <v>0.75</v>
      </c>
      <c r="I55" s="12">
        <v>1</v>
      </c>
    </row>
    <row r="56" spans="2:9" ht="15" customHeight="1" x14ac:dyDescent="0.2">
      <c r="B56" t="s">
        <v>169</v>
      </c>
      <c r="C56" s="12">
        <v>15</v>
      </c>
      <c r="D56" s="8">
        <v>4.01</v>
      </c>
      <c r="E56" s="12">
        <v>15</v>
      </c>
      <c r="F56" s="8">
        <v>6.52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172</v>
      </c>
      <c r="C57" s="12">
        <v>11</v>
      </c>
      <c r="D57" s="8">
        <v>2.94</v>
      </c>
      <c r="E57" s="12">
        <v>11</v>
      </c>
      <c r="F57" s="8">
        <v>4.78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161</v>
      </c>
      <c r="C58" s="12">
        <v>9</v>
      </c>
      <c r="D58" s="8">
        <v>2.41</v>
      </c>
      <c r="E58" s="12">
        <v>7</v>
      </c>
      <c r="F58" s="8">
        <v>3.04</v>
      </c>
      <c r="G58" s="12">
        <v>2</v>
      </c>
      <c r="H58" s="8">
        <v>1.5</v>
      </c>
      <c r="I58" s="12">
        <v>0</v>
      </c>
    </row>
    <row r="59" spans="2:9" ht="15" customHeight="1" x14ac:dyDescent="0.2">
      <c r="B59" t="s">
        <v>164</v>
      </c>
      <c r="C59" s="12">
        <v>9</v>
      </c>
      <c r="D59" s="8">
        <v>2.41</v>
      </c>
      <c r="E59" s="12">
        <v>4</v>
      </c>
      <c r="F59" s="8">
        <v>1.74</v>
      </c>
      <c r="G59" s="12">
        <v>4</v>
      </c>
      <c r="H59" s="8">
        <v>3.01</v>
      </c>
      <c r="I59" s="12">
        <v>0</v>
      </c>
    </row>
    <row r="60" spans="2:9" ht="15" customHeight="1" x14ac:dyDescent="0.2">
      <c r="B60" t="s">
        <v>168</v>
      </c>
      <c r="C60" s="12">
        <v>9</v>
      </c>
      <c r="D60" s="8">
        <v>2.41</v>
      </c>
      <c r="E60" s="12">
        <v>9</v>
      </c>
      <c r="F60" s="8">
        <v>3.91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155</v>
      </c>
      <c r="C61" s="12">
        <v>8</v>
      </c>
      <c r="D61" s="8">
        <v>2.14</v>
      </c>
      <c r="E61" s="12">
        <v>2</v>
      </c>
      <c r="F61" s="8">
        <v>0.87</v>
      </c>
      <c r="G61" s="12">
        <v>6</v>
      </c>
      <c r="H61" s="8">
        <v>4.51</v>
      </c>
      <c r="I61" s="12">
        <v>0</v>
      </c>
    </row>
    <row r="62" spans="2:9" ht="15" customHeight="1" x14ac:dyDescent="0.2">
      <c r="B62" t="s">
        <v>159</v>
      </c>
      <c r="C62" s="12">
        <v>8</v>
      </c>
      <c r="D62" s="8">
        <v>2.14</v>
      </c>
      <c r="E62" s="12">
        <v>5</v>
      </c>
      <c r="F62" s="8">
        <v>2.17</v>
      </c>
      <c r="G62" s="12">
        <v>3</v>
      </c>
      <c r="H62" s="8">
        <v>2.2599999999999998</v>
      </c>
      <c r="I62" s="12">
        <v>0</v>
      </c>
    </row>
    <row r="63" spans="2:9" ht="15" customHeight="1" x14ac:dyDescent="0.2">
      <c r="B63" t="s">
        <v>182</v>
      </c>
      <c r="C63" s="12">
        <v>8</v>
      </c>
      <c r="D63" s="8">
        <v>2.14</v>
      </c>
      <c r="E63" s="12">
        <v>4</v>
      </c>
      <c r="F63" s="8">
        <v>1.74</v>
      </c>
      <c r="G63" s="12">
        <v>4</v>
      </c>
      <c r="H63" s="8">
        <v>3.01</v>
      </c>
      <c r="I63" s="12">
        <v>0</v>
      </c>
    </row>
    <row r="64" spans="2:9" ht="15" customHeight="1" x14ac:dyDescent="0.2">
      <c r="B64" t="s">
        <v>173</v>
      </c>
      <c r="C64" s="12">
        <v>8</v>
      </c>
      <c r="D64" s="8">
        <v>2.14</v>
      </c>
      <c r="E64" s="12">
        <v>8</v>
      </c>
      <c r="F64" s="8">
        <v>3.48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203</v>
      </c>
      <c r="C65" s="12">
        <v>7</v>
      </c>
      <c r="D65" s="8">
        <v>1.87</v>
      </c>
      <c r="E65" s="12">
        <v>5</v>
      </c>
      <c r="F65" s="8">
        <v>2.17</v>
      </c>
      <c r="G65" s="12">
        <v>2</v>
      </c>
      <c r="H65" s="8">
        <v>1.5</v>
      </c>
      <c r="I65" s="12">
        <v>0</v>
      </c>
    </row>
    <row r="66" spans="2:9" ht="15" customHeight="1" x14ac:dyDescent="0.2">
      <c r="B66" t="s">
        <v>160</v>
      </c>
      <c r="C66" s="12">
        <v>7</v>
      </c>
      <c r="D66" s="8">
        <v>1.87</v>
      </c>
      <c r="E66" s="12">
        <v>1</v>
      </c>
      <c r="F66" s="8">
        <v>0.43</v>
      </c>
      <c r="G66" s="12">
        <v>6</v>
      </c>
      <c r="H66" s="8">
        <v>4.51</v>
      </c>
      <c r="I66" s="12">
        <v>0</v>
      </c>
    </row>
    <row r="67" spans="2:9" ht="15" customHeight="1" x14ac:dyDescent="0.2">
      <c r="B67" t="s">
        <v>167</v>
      </c>
      <c r="C67" s="12">
        <v>7</v>
      </c>
      <c r="D67" s="8">
        <v>1.87</v>
      </c>
      <c r="E67" s="12">
        <v>7</v>
      </c>
      <c r="F67" s="8">
        <v>3.04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171</v>
      </c>
      <c r="C68" s="12">
        <v>7</v>
      </c>
      <c r="D68" s="8">
        <v>1.87</v>
      </c>
      <c r="E68" s="12">
        <v>5</v>
      </c>
      <c r="F68" s="8">
        <v>2.17</v>
      </c>
      <c r="G68" s="12">
        <v>1</v>
      </c>
      <c r="H68" s="8">
        <v>0.75</v>
      </c>
      <c r="I68" s="12">
        <v>1</v>
      </c>
    </row>
    <row r="69" spans="2:9" ht="15" customHeight="1" x14ac:dyDescent="0.2">
      <c r="B69" t="s">
        <v>166</v>
      </c>
      <c r="C69" s="12">
        <v>6</v>
      </c>
      <c r="D69" s="8">
        <v>1.6</v>
      </c>
      <c r="E69" s="12">
        <v>6</v>
      </c>
      <c r="F69" s="8">
        <v>2.61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179</v>
      </c>
      <c r="C70" s="12">
        <v>6</v>
      </c>
      <c r="D70" s="8">
        <v>1.6</v>
      </c>
      <c r="E70" s="12">
        <v>6</v>
      </c>
      <c r="F70" s="8">
        <v>2.61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232</v>
      </c>
      <c r="C71" s="12">
        <v>5</v>
      </c>
      <c r="D71" s="8">
        <v>1.34</v>
      </c>
      <c r="E71" s="12">
        <v>1</v>
      </c>
      <c r="F71" s="8">
        <v>0.43</v>
      </c>
      <c r="G71" s="12">
        <v>4</v>
      </c>
      <c r="H71" s="8">
        <v>3.01</v>
      </c>
      <c r="I71" s="12">
        <v>0</v>
      </c>
    </row>
    <row r="72" spans="2:9" ht="15" customHeight="1" x14ac:dyDescent="0.2">
      <c r="B72" t="s">
        <v>186</v>
      </c>
      <c r="C72" s="12">
        <v>5</v>
      </c>
      <c r="D72" s="8">
        <v>1.34</v>
      </c>
      <c r="E72" s="12">
        <v>3</v>
      </c>
      <c r="F72" s="8">
        <v>1.3</v>
      </c>
      <c r="G72" s="12">
        <v>2</v>
      </c>
      <c r="H72" s="8">
        <v>1.5</v>
      </c>
      <c r="I72" s="12">
        <v>0</v>
      </c>
    </row>
    <row r="73" spans="2:9" ht="15" customHeight="1" x14ac:dyDescent="0.2">
      <c r="B73" t="s">
        <v>187</v>
      </c>
      <c r="C73" s="12">
        <v>5</v>
      </c>
      <c r="D73" s="8">
        <v>1.34</v>
      </c>
      <c r="E73" s="12">
        <v>2</v>
      </c>
      <c r="F73" s="8">
        <v>0.87</v>
      </c>
      <c r="G73" s="12">
        <v>3</v>
      </c>
      <c r="H73" s="8">
        <v>2.2599999999999998</v>
      </c>
      <c r="I73" s="12">
        <v>0</v>
      </c>
    </row>
    <row r="74" spans="2:9" ht="15" customHeight="1" x14ac:dyDescent="0.2">
      <c r="B74" t="s">
        <v>156</v>
      </c>
      <c r="C74" s="12">
        <v>5</v>
      </c>
      <c r="D74" s="8">
        <v>1.34</v>
      </c>
      <c r="E74" s="12">
        <v>1</v>
      </c>
      <c r="F74" s="8">
        <v>0.43</v>
      </c>
      <c r="G74" s="12">
        <v>4</v>
      </c>
      <c r="H74" s="8">
        <v>3.01</v>
      </c>
      <c r="I74" s="12">
        <v>0</v>
      </c>
    </row>
    <row r="75" spans="2:9" ht="15" customHeight="1" x14ac:dyDescent="0.2">
      <c r="B75" t="s">
        <v>212</v>
      </c>
      <c r="C75" s="12">
        <v>5</v>
      </c>
      <c r="D75" s="8">
        <v>1.34</v>
      </c>
      <c r="E75" s="12">
        <v>5</v>
      </c>
      <c r="F75" s="8">
        <v>2.17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165</v>
      </c>
      <c r="C76" s="12">
        <v>5</v>
      </c>
      <c r="D76" s="8">
        <v>1.34</v>
      </c>
      <c r="E76" s="12">
        <v>1</v>
      </c>
      <c r="F76" s="8">
        <v>0.43</v>
      </c>
      <c r="G76" s="12">
        <v>4</v>
      </c>
      <c r="H76" s="8">
        <v>3.01</v>
      </c>
      <c r="I76" s="12">
        <v>0</v>
      </c>
    </row>
    <row r="77" spans="2:9" ht="15" customHeight="1" x14ac:dyDescent="0.2">
      <c r="B77" t="s">
        <v>220</v>
      </c>
      <c r="C77" s="12">
        <v>5</v>
      </c>
      <c r="D77" s="8">
        <v>1.34</v>
      </c>
      <c r="E77" s="12">
        <v>5</v>
      </c>
      <c r="F77" s="8">
        <v>2.17</v>
      </c>
      <c r="G77" s="12">
        <v>0</v>
      </c>
      <c r="H77" s="8">
        <v>0</v>
      </c>
      <c r="I77" s="12">
        <v>0</v>
      </c>
    </row>
    <row r="79" spans="2:9" ht="15" customHeight="1" x14ac:dyDescent="0.2">
      <c r="B79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F507F-7C77-4798-825C-61A5C19E95F9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291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246</v>
      </c>
      <c r="D6" s="8">
        <v>13.38</v>
      </c>
      <c r="E6" s="12">
        <v>55</v>
      </c>
      <c r="F6" s="8">
        <v>6.08</v>
      </c>
      <c r="G6" s="12">
        <v>191</v>
      </c>
      <c r="H6" s="8">
        <v>20.85</v>
      </c>
      <c r="I6" s="12">
        <v>0</v>
      </c>
    </row>
    <row r="7" spans="2:9" ht="15" customHeight="1" x14ac:dyDescent="0.2">
      <c r="B7" t="s">
        <v>77</v>
      </c>
      <c r="C7" s="12">
        <v>182</v>
      </c>
      <c r="D7" s="8">
        <v>9.9</v>
      </c>
      <c r="E7" s="12">
        <v>45</v>
      </c>
      <c r="F7" s="8">
        <v>4.9800000000000004</v>
      </c>
      <c r="G7" s="12">
        <v>137</v>
      </c>
      <c r="H7" s="8">
        <v>14.96</v>
      </c>
      <c r="I7" s="12">
        <v>0</v>
      </c>
    </row>
    <row r="8" spans="2:9" ht="15" customHeight="1" x14ac:dyDescent="0.2">
      <c r="B8" t="s">
        <v>78</v>
      </c>
      <c r="C8" s="12">
        <v>8</v>
      </c>
      <c r="D8" s="8">
        <v>0.44</v>
      </c>
      <c r="E8" s="12">
        <v>0</v>
      </c>
      <c r="F8" s="8">
        <v>0</v>
      </c>
      <c r="G8" s="12">
        <v>8</v>
      </c>
      <c r="H8" s="8">
        <v>0.87</v>
      </c>
      <c r="I8" s="12">
        <v>0</v>
      </c>
    </row>
    <row r="9" spans="2:9" ht="15" customHeight="1" x14ac:dyDescent="0.2">
      <c r="B9" t="s">
        <v>79</v>
      </c>
      <c r="C9" s="12">
        <v>7</v>
      </c>
      <c r="D9" s="8">
        <v>0.38</v>
      </c>
      <c r="E9" s="12">
        <v>0</v>
      </c>
      <c r="F9" s="8">
        <v>0</v>
      </c>
      <c r="G9" s="12">
        <v>7</v>
      </c>
      <c r="H9" s="8">
        <v>0.76</v>
      </c>
      <c r="I9" s="12">
        <v>0</v>
      </c>
    </row>
    <row r="10" spans="2:9" ht="15" customHeight="1" x14ac:dyDescent="0.2">
      <c r="B10" t="s">
        <v>80</v>
      </c>
      <c r="C10" s="12">
        <v>51</v>
      </c>
      <c r="D10" s="8">
        <v>2.77</v>
      </c>
      <c r="E10" s="12">
        <v>10</v>
      </c>
      <c r="F10" s="8">
        <v>1.1100000000000001</v>
      </c>
      <c r="G10" s="12">
        <v>39</v>
      </c>
      <c r="H10" s="8">
        <v>4.26</v>
      </c>
      <c r="I10" s="12">
        <v>1</v>
      </c>
    </row>
    <row r="11" spans="2:9" ht="15" customHeight="1" x14ac:dyDescent="0.2">
      <c r="B11" t="s">
        <v>81</v>
      </c>
      <c r="C11" s="12">
        <v>426</v>
      </c>
      <c r="D11" s="8">
        <v>23.16</v>
      </c>
      <c r="E11" s="12">
        <v>210</v>
      </c>
      <c r="F11" s="8">
        <v>23.23</v>
      </c>
      <c r="G11" s="12">
        <v>216</v>
      </c>
      <c r="H11" s="8">
        <v>23.58</v>
      </c>
      <c r="I11" s="12">
        <v>0</v>
      </c>
    </row>
    <row r="12" spans="2:9" ht="15" customHeight="1" x14ac:dyDescent="0.2">
      <c r="B12" t="s">
        <v>82</v>
      </c>
      <c r="C12" s="12">
        <v>7</v>
      </c>
      <c r="D12" s="8">
        <v>0.38</v>
      </c>
      <c r="E12" s="12">
        <v>2</v>
      </c>
      <c r="F12" s="8">
        <v>0.22</v>
      </c>
      <c r="G12" s="12">
        <v>5</v>
      </c>
      <c r="H12" s="8">
        <v>0.55000000000000004</v>
      </c>
      <c r="I12" s="12">
        <v>0</v>
      </c>
    </row>
    <row r="13" spans="2:9" ht="15" customHeight="1" x14ac:dyDescent="0.2">
      <c r="B13" t="s">
        <v>83</v>
      </c>
      <c r="C13" s="12">
        <v>175</v>
      </c>
      <c r="D13" s="8">
        <v>9.52</v>
      </c>
      <c r="E13" s="12">
        <v>78</v>
      </c>
      <c r="F13" s="8">
        <v>8.6300000000000008</v>
      </c>
      <c r="G13" s="12">
        <v>97</v>
      </c>
      <c r="H13" s="8">
        <v>10.59</v>
      </c>
      <c r="I13" s="12">
        <v>0</v>
      </c>
    </row>
    <row r="14" spans="2:9" ht="15" customHeight="1" x14ac:dyDescent="0.2">
      <c r="B14" t="s">
        <v>84</v>
      </c>
      <c r="C14" s="12">
        <v>100</v>
      </c>
      <c r="D14" s="8">
        <v>5.44</v>
      </c>
      <c r="E14" s="12">
        <v>45</v>
      </c>
      <c r="F14" s="8">
        <v>4.9800000000000004</v>
      </c>
      <c r="G14" s="12">
        <v>55</v>
      </c>
      <c r="H14" s="8">
        <v>6</v>
      </c>
      <c r="I14" s="12">
        <v>0</v>
      </c>
    </row>
    <row r="15" spans="2:9" ht="15" customHeight="1" x14ac:dyDescent="0.2">
      <c r="B15" t="s">
        <v>85</v>
      </c>
      <c r="C15" s="12">
        <v>174</v>
      </c>
      <c r="D15" s="8">
        <v>9.4600000000000009</v>
      </c>
      <c r="E15" s="12">
        <v>145</v>
      </c>
      <c r="F15" s="8">
        <v>16.04</v>
      </c>
      <c r="G15" s="12">
        <v>28</v>
      </c>
      <c r="H15" s="8">
        <v>3.06</v>
      </c>
      <c r="I15" s="12">
        <v>1</v>
      </c>
    </row>
    <row r="16" spans="2:9" ht="15" customHeight="1" x14ac:dyDescent="0.2">
      <c r="B16" t="s">
        <v>86</v>
      </c>
      <c r="C16" s="12">
        <v>240</v>
      </c>
      <c r="D16" s="8">
        <v>13.05</v>
      </c>
      <c r="E16" s="12">
        <v>192</v>
      </c>
      <c r="F16" s="8">
        <v>21.24</v>
      </c>
      <c r="G16" s="12">
        <v>48</v>
      </c>
      <c r="H16" s="8">
        <v>5.24</v>
      </c>
      <c r="I16" s="12">
        <v>0</v>
      </c>
    </row>
    <row r="17" spans="2:9" ht="15" customHeight="1" x14ac:dyDescent="0.2">
      <c r="B17" t="s">
        <v>87</v>
      </c>
      <c r="C17" s="12">
        <v>68</v>
      </c>
      <c r="D17" s="8">
        <v>3.7</v>
      </c>
      <c r="E17" s="12">
        <v>47</v>
      </c>
      <c r="F17" s="8">
        <v>5.2</v>
      </c>
      <c r="G17" s="12">
        <v>18</v>
      </c>
      <c r="H17" s="8">
        <v>1.97</v>
      </c>
      <c r="I17" s="12">
        <v>3</v>
      </c>
    </row>
    <row r="18" spans="2:9" ht="15" customHeight="1" x14ac:dyDescent="0.2">
      <c r="B18" t="s">
        <v>88</v>
      </c>
      <c r="C18" s="12">
        <v>92</v>
      </c>
      <c r="D18" s="8">
        <v>5</v>
      </c>
      <c r="E18" s="12">
        <v>61</v>
      </c>
      <c r="F18" s="8">
        <v>6.75</v>
      </c>
      <c r="G18" s="12">
        <v>29</v>
      </c>
      <c r="H18" s="8">
        <v>3.17</v>
      </c>
      <c r="I18" s="12">
        <v>0</v>
      </c>
    </row>
    <row r="19" spans="2:9" ht="15" customHeight="1" x14ac:dyDescent="0.2">
      <c r="B19" t="s">
        <v>89</v>
      </c>
      <c r="C19" s="12">
        <v>63</v>
      </c>
      <c r="D19" s="8">
        <v>3.43</v>
      </c>
      <c r="E19" s="12">
        <v>14</v>
      </c>
      <c r="F19" s="8">
        <v>1.55</v>
      </c>
      <c r="G19" s="12">
        <v>38</v>
      </c>
      <c r="H19" s="8">
        <v>4.1500000000000004</v>
      </c>
      <c r="I19" s="12">
        <v>0</v>
      </c>
    </row>
    <row r="20" spans="2:9" ht="15" customHeight="1" x14ac:dyDescent="0.2">
      <c r="B20" s="9" t="s">
        <v>285</v>
      </c>
      <c r="C20" s="12">
        <f>SUM(LTBL_40103[総数／事業所数])</f>
        <v>1839</v>
      </c>
      <c r="E20" s="12">
        <f>SUBTOTAL(109,LTBL_40103[個人／事業所数])</f>
        <v>904</v>
      </c>
      <c r="G20" s="12">
        <f>SUBTOTAL(109,LTBL_40103[法人／事業所数])</f>
        <v>916</v>
      </c>
      <c r="I20" s="12">
        <f>SUBTOTAL(109,LTBL_40103[法人以外の団体／事業所数])</f>
        <v>5</v>
      </c>
    </row>
    <row r="21" spans="2:9" ht="15" customHeight="1" x14ac:dyDescent="0.2">
      <c r="E21" s="11">
        <f>LTBL_40103[[#Totals],[個人／事業所数]]/LTBL_40103[[#Totals],[総数／事業所数]]</f>
        <v>0.49157150625339857</v>
      </c>
      <c r="G21" s="11">
        <f>LTBL_40103[[#Totals],[法人／事業所数]]/LTBL_40103[[#Totals],[総数／事業所数]]</f>
        <v>0.49809679173463839</v>
      </c>
      <c r="I21" s="11">
        <f>LTBL_40103[[#Totals],[法人以外の団体／事業所数]]/LTBL_40103[[#Totals],[総数／事業所数]]</f>
        <v>2.7188689505165853E-3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113</v>
      </c>
      <c r="C24" s="12">
        <v>197</v>
      </c>
      <c r="D24" s="8">
        <v>10.71</v>
      </c>
      <c r="E24" s="12">
        <v>175</v>
      </c>
      <c r="F24" s="8">
        <v>19.36</v>
      </c>
      <c r="G24" s="12">
        <v>22</v>
      </c>
      <c r="H24" s="8">
        <v>2.4</v>
      </c>
      <c r="I24" s="12">
        <v>0</v>
      </c>
    </row>
    <row r="25" spans="2:9" ht="15" customHeight="1" x14ac:dyDescent="0.2">
      <c r="B25" t="s">
        <v>112</v>
      </c>
      <c r="C25" s="12">
        <v>149</v>
      </c>
      <c r="D25" s="8">
        <v>8.1</v>
      </c>
      <c r="E25" s="12">
        <v>136</v>
      </c>
      <c r="F25" s="8">
        <v>15.04</v>
      </c>
      <c r="G25" s="12">
        <v>12</v>
      </c>
      <c r="H25" s="8">
        <v>1.31</v>
      </c>
      <c r="I25" s="12">
        <v>1</v>
      </c>
    </row>
    <row r="26" spans="2:9" ht="15" customHeight="1" x14ac:dyDescent="0.2">
      <c r="B26" t="s">
        <v>109</v>
      </c>
      <c r="C26" s="12">
        <v>143</v>
      </c>
      <c r="D26" s="8">
        <v>7.78</v>
      </c>
      <c r="E26" s="12">
        <v>72</v>
      </c>
      <c r="F26" s="8">
        <v>7.96</v>
      </c>
      <c r="G26" s="12">
        <v>71</v>
      </c>
      <c r="H26" s="8">
        <v>7.75</v>
      </c>
      <c r="I26" s="12">
        <v>0</v>
      </c>
    </row>
    <row r="27" spans="2:9" ht="15" customHeight="1" x14ac:dyDescent="0.2">
      <c r="B27" t="s">
        <v>107</v>
      </c>
      <c r="C27" s="12">
        <v>117</v>
      </c>
      <c r="D27" s="8">
        <v>6.36</v>
      </c>
      <c r="E27" s="12">
        <v>61</v>
      </c>
      <c r="F27" s="8">
        <v>6.75</v>
      </c>
      <c r="G27" s="12">
        <v>56</v>
      </c>
      <c r="H27" s="8">
        <v>6.11</v>
      </c>
      <c r="I27" s="12">
        <v>0</v>
      </c>
    </row>
    <row r="28" spans="2:9" ht="15" customHeight="1" x14ac:dyDescent="0.2">
      <c r="B28" t="s">
        <v>105</v>
      </c>
      <c r="C28" s="12">
        <v>115</v>
      </c>
      <c r="D28" s="8">
        <v>6.25</v>
      </c>
      <c r="E28" s="12">
        <v>80</v>
      </c>
      <c r="F28" s="8">
        <v>8.85</v>
      </c>
      <c r="G28" s="12">
        <v>35</v>
      </c>
      <c r="H28" s="8">
        <v>3.82</v>
      </c>
      <c r="I28" s="12">
        <v>0</v>
      </c>
    </row>
    <row r="29" spans="2:9" ht="15" customHeight="1" x14ac:dyDescent="0.2">
      <c r="B29" t="s">
        <v>98</v>
      </c>
      <c r="C29" s="12">
        <v>109</v>
      </c>
      <c r="D29" s="8">
        <v>5.93</v>
      </c>
      <c r="E29" s="12">
        <v>20</v>
      </c>
      <c r="F29" s="8">
        <v>2.21</v>
      </c>
      <c r="G29" s="12">
        <v>89</v>
      </c>
      <c r="H29" s="8">
        <v>9.7200000000000006</v>
      </c>
      <c r="I29" s="12">
        <v>0</v>
      </c>
    </row>
    <row r="30" spans="2:9" ht="15" customHeight="1" x14ac:dyDescent="0.2">
      <c r="B30" t="s">
        <v>100</v>
      </c>
      <c r="C30" s="12">
        <v>70</v>
      </c>
      <c r="D30" s="8">
        <v>3.81</v>
      </c>
      <c r="E30" s="12">
        <v>16</v>
      </c>
      <c r="F30" s="8">
        <v>1.77</v>
      </c>
      <c r="G30" s="12">
        <v>54</v>
      </c>
      <c r="H30" s="8">
        <v>5.9</v>
      </c>
      <c r="I30" s="12">
        <v>0</v>
      </c>
    </row>
    <row r="31" spans="2:9" ht="15" customHeight="1" x14ac:dyDescent="0.2">
      <c r="B31" t="s">
        <v>114</v>
      </c>
      <c r="C31" s="12">
        <v>68</v>
      </c>
      <c r="D31" s="8">
        <v>3.7</v>
      </c>
      <c r="E31" s="12">
        <v>47</v>
      </c>
      <c r="F31" s="8">
        <v>5.2</v>
      </c>
      <c r="G31" s="12">
        <v>18</v>
      </c>
      <c r="H31" s="8">
        <v>1.97</v>
      </c>
      <c r="I31" s="12">
        <v>3</v>
      </c>
    </row>
    <row r="32" spans="2:9" ht="15" customHeight="1" x14ac:dyDescent="0.2">
      <c r="B32" t="s">
        <v>99</v>
      </c>
      <c r="C32" s="12">
        <v>67</v>
      </c>
      <c r="D32" s="8">
        <v>3.64</v>
      </c>
      <c r="E32" s="12">
        <v>19</v>
      </c>
      <c r="F32" s="8">
        <v>2.1</v>
      </c>
      <c r="G32" s="12">
        <v>48</v>
      </c>
      <c r="H32" s="8">
        <v>5.24</v>
      </c>
      <c r="I32" s="12">
        <v>0</v>
      </c>
    </row>
    <row r="33" spans="2:9" ht="15" customHeight="1" x14ac:dyDescent="0.2">
      <c r="B33" t="s">
        <v>115</v>
      </c>
      <c r="C33" s="12">
        <v>66</v>
      </c>
      <c r="D33" s="8">
        <v>3.59</v>
      </c>
      <c r="E33" s="12">
        <v>60</v>
      </c>
      <c r="F33" s="8">
        <v>6.64</v>
      </c>
      <c r="G33" s="12">
        <v>6</v>
      </c>
      <c r="H33" s="8">
        <v>0.66</v>
      </c>
      <c r="I33" s="12">
        <v>0</v>
      </c>
    </row>
    <row r="34" spans="2:9" ht="15" customHeight="1" x14ac:dyDescent="0.2">
      <c r="B34" t="s">
        <v>119</v>
      </c>
      <c r="C34" s="12">
        <v>58</v>
      </c>
      <c r="D34" s="8">
        <v>3.15</v>
      </c>
      <c r="E34" s="12">
        <v>8</v>
      </c>
      <c r="F34" s="8">
        <v>0.88</v>
      </c>
      <c r="G34" s="12">
        <v>50</v>
      </c>
      <c r="H34" s="8">
        <v>5.46</v>
      </c>
      <c r="I34" s="12">
        <v>0</v>
      </c>
    </row>
    <row r="35" spans="2:9" ht="15" customHeight="1" x14ac:dyDescent="0.2">
      <c r="B35" t="s">
        <v>110</v>
      </c>
      <c r="C35" s="12">
        <v>50</v>
      </c>
      <c r="D35" s="8">
        <v>2.72</v>
      </c>
      <c r="E35" s="12">
        <v>30</v>
      </c>
      <c r="F35" s="8">
        <v>3.32</v>
      </c>
      <c r="G35" s="12">
        <v>20</v>
      </c>
      <c r="H35" s="8">
        <v>2.1800000000000002</v>
      </c>
      <c r="I35" s="12">
        <v>0</v>
      </c>
    </row>
    <row r="36" spans="2:9" ht="15" customHeight="1" x14ac:dyDescent="0.2">
      <c r="B36" t="s">
        <v>106</v>
      </c>
      <c r="C36" s="12">
        <v>46</v>
      </c>
      <c r="D36" s="8">
        <v>2.5</v>
      </c>
      <c r="E36" s="12">
        <v>26</v>
      </c>
      <c r="F36" s="8">
        <v>2.88</v>
      </c>
      <c r="G36" s="12">
        <v>20</v>
      </c>
      <c r="H36" s="8">
        <v>2.1800000000000002</v>
      </c>
      <c r="I36" s="12">
        <v>0</v>
      </c>
    </row>
    <row r="37" spans="2:9" ht="15" customHeight="1" x14ac:dyDescent="0.2">
      <c r="B37" t="s">
        <v>104</v>
      </c>
      <c r="C37" s="12">
        <v>41</v>
      </c>
      <c r="D37" s="8">
        <v>2.23</v>
      </c>
      <c r="E37" s="12">
        <v>21</v>
      </c>
      <c r="F37" s="8">
        <v>2.3199999999999998</v>
      </c>
      <c r="G37" s="12">
        <v>20</v>
      </c>
      <c r="H37" s="8">
        <v>2.1800000000000002</v>
      </c>
      <c r="I37" s="12">
        <v>0</v>
      </c>
    </row>
    <row r="38" spans="2:9" ht="15" customHeight="1" x14ac:dyDescent="0.2">
      <c r="B38" t="s">
        <v>111</v>
      </c>
      <c r="C38" s="12">
        <v>39</v>
      </c>
      <c r="D38" s="8">
        <v>2.12</v>
      </c>
      <c r="E38" s="12">
        <v>15</v>
      </c>
      <c r="F38" s="8">
        <v>1.66</v>
      </c>
      <c r="G38" s="12">
        <v>24</v>
      </c>
      <c r="H38" s="8">
        <v>2.62</v>
      </c>
      <c r="I38" s="12">
        <v>0</v>
      </c>
    </row>
    <row r="39" spans="2:9" ht="15" customHeight="1" x14ac:dyDescent="0.2">
      <c r="B39" t="s">
        <v>101</v>
      </c>
      <c r="C39" s="12">
        <v>35</v>
      </c>
      <c r="D39" s="8">
        <v>1.9</v>
      </c>
      <c r="E39" s="12">
        <v>6</v>
      </c>
      <c r="F39" s="8">
        <v>0.66</v>
      </c>
      <c r="G39" s="12">
        <v>29</v>
      </c>
      <c r="H39" s="8">
        <v>3.17</v>
      </c>
      <c r="I39" s="12">
        <v>0</v>
      </c>
    </row>
    <row r="40" spans="2:9" ht="15" customHeight="1" x14ac:dyDescent="0.2">
      <c r="B40" t="s">
        <v>118</v>
      </c>
      <c r="C40" s="12">
        <v>26</v>
      </c>
      <c r="D40" s="8">
        <v>1.41</v>
      </c>
      <c r="E40" s="12">
        <v>6</v>
      </c>
      <c r="F40" s="8">
        <v>0.66</v>
      </c>
      <c r="G40" s="12">
        <v>20</v>
      </c>
      <c r="H40" s="8">
        <v>2.1800000000000002</v>
      </c>
      <c r="I40" s="12">
        <v>0</v>
      </c>
    </row>
    <row r="41" spans="2:9" ht="15" customHeight="1" x14ac:dyDescent="0.2">
      <c r="B41" t="s">
        <v>116</v>
      </c>
      <c r="C41" s="12">
        <v>26</v>
      </c>
      <c r="D41" s="8">
        <v>1.41</v>
      </c>
      <c r="E41" s="12">
        <v>1</v>
      </c>
      <c r="F41" s="8">
        <v>0.11</v>
      </c>
      <c r="G41" s="12">
        <v>23</v>
      </c>
      <c r="H41" s="8">
        <v>2.5099999999999998</v>
      </c>
      <c r="I41" s="12">
        <v>0</v>
      </c>
    </row>
    <row r="42" spans="2:9" ht="15" customHeight="1" x14ac:dyDescent="0.2">
      <c r="B42" t="s">
        <v>103</v>
      </c>
      <c r="C42" s="12">
        <v>25</v>
      </c>
      <c r="D42" s="8">
        <v>1.36</v>
      </c>
      <c r="E42" s="12">
        <v>7</v>
      </c>
      <c r="F42" s="8">
        <v>0.77</v>
      </c>
      <c r="G42" s="12">
        <v>18</v>
      </c>
      <c r="H42" s="8">
        <v>1.97</v>
      </c>
      <c r="I42" s="12">
        <v>0</v>
      </c>
    </row>
    <row r="43" spans="2:9" ht="15" customHeight="1" x14ac:dyDescent="0.2">
      <c r="B43" t="s">
        <v>108</v>
      </c>
      <c r="C43" s="12">
        <v>23</v>
      </c>
      <c r="D43" s="8">
        <v>1.25</v>
      </c>
      <c r="E43" s="12">
        <v>5</v>
      </c>
      <c r="F43" s="8">
        <v>0.55000000000000004</v>
      </c>
      <c r="G43" s="12">
        <v>18</v>
      </c>
      <c r="H43" s="8">
        <v>1.97</v>
      </c>
      <c r="I43" s="12">
        <v>0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170</v>
      </c>
      <c r="C47" s="12">
        <v>112</v>
      </c>
      <c r="D47" s="8">
        <v>6.09</v>
      </c>
      <c r="E47" s="12">
        <v>103</v>
      </c>
      <c r="F47" s="8">
        <v>11.39</v>
      </c>
      <c r="G47" s="12">
        <v>9</v>
      </c>
      <c r="H47" s="8">
        <v>0.98</v>
      </c>
      <c r="I47" s="12">
        <v>0</v>
      </c>
    </row>
    <row r="48" spans="2:9" ht="15" customHeight="1" x14ac:dyDescent="0.2">
      <c r="B48" t="s">
        <v>164</v>
      </c>
      <c r="C48" s="12">
        <v>86</v>
      </c>
      <c r="D48" s="8">
        <v>4.68</v>
      </c>
      <c r="E48" s="12">
        <v>46</v>
      </c>
      <c r="F48" s="8">
        <v>5.09</v>
      </c>
      <c r="G48" s="12">
        <v>40</v>
      </c>
      <c r="H48" s="8">
        <v>4.37</v>
      </c>
      <c r="I48" s="12">
        <v>0</v>
      </c>
    </row>
    <row r="49" spans="2:9" ht="15" customHeight="1" x14ac:dyDescent="0.2">
      <c r="B49" t="s">
        <v>169</v>
      </c>
      <c r="C49" s="12">
        <v>56</v>
      </c>
      <c r="D49" s="8">
        <v>3.05</v>
      </c>
      <c r="E49" s="12">
        <v>55</v>
      </c>
      <c r="F49" s="8">
        <v>6.08</v>
      </c>
      <c r="G49" s="12">
        <v>1</v>
      </c>
      <c r="H49" s="8">
        <v>0.11</v>
      </c>
      <c r="I49" s="12">
        <v>0</v>
      </c>
    </row>
    <row r="50" spans="2:9" ht="15" customHeight="1" x14ac:dyDescent="0.2">
      <c r="B50" t="s">
        <v>154</v>
      </c>
      <c r="C50" s="12">
        <v>46</v>
      </c>
      <c r="D50" s="8">
        <v>2.5</v>
      </c>
      <c r="E50" s="12">
        <v>3</v>
      </c>
      <c r="F50" s="8">
        <v>0.33</v>
      </c>
      <c r="G50" s="12">
        <v>43</v>
      </c>
      <c r="H50" s="8">
        <v>4.6900000000000004</v>
      </c>
      <c r="I50" s="12">
        <v>0</v>
      </c>
    </row>
    <row r="51" spans="2:9" ht="15" customHeight="1" x14ac:dyDescent="0.2">
      <c r="B51" t="s">
        <v>168</v>
      </c>
      <c r="C51" s="12">
        <v>45</v>
      </c>
      <c r="D51" s="8">
        <v>2.4500000000000002</v>
      </c>
      <c r="E51" s="12">
        <v>45</v>
      </c>
      <c r="F51" s="8">
        <v>4.9800000000000004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172</v>
      </c>
      <c r="C52" s="12">
        <v>44</v>
      </c>
      <c r="D52" s="8">
        <v>2.39</v>
      </c>
      <c r="E52" s="12">
        <v>42</v>
      </c>
      <c r="F52" s="8">
        <v>4.6500000000000004</v>
      </c>
      <c r="G52" s="12">
        <v>2</v>
      </c>
      <c r="H52" s="8">
        <v>0.22</v>
      </c>
      <c r="I52" s="12">
        <v>0</v>
      </c>
    </row>
    <row r="53" spans="2:9" ht="15" customHeight="1" x14ac:dyDescent="0.2">
      <c r="B53" t="s">
        <v>180</v>
      </c>
      <c r="C53" s="12">
        <v>41</v>
      </c>
      <c r="D53" s="8">
        <v>2.23</v>
      </c>
      <c r="E53" s="12">
        <v>7</v>
      </c>
      <c r="F53" s="8">
        <v>0.77</v>
      </c>
      <c r="G53" s="12">
        <v>34</v>
      </c>
      <c r="H53" s="8">
        <v>3.71</v>
      </c>
      <c r="I53" s="12">
        <v>0</v>
      </c>
    </row>
    <row r="54" spans="2:9" ht="15" customHeight="1" x14ac:dyDescent="0.2">
      <c r="B54" t="s">
        <v>160</v>
      </c>
      <c r="C54" s="12">
        <v>38</v>
      </c>
      <c r="D54" s="8">
        <v>2.0699999999999998</v>
      </c>
      <c r="E54" s="12">
        <v>15</v>
      </c>
      <c r="F54" s="8">
        <v>1.66</v>
      </c>
      <c r="G54" s="12">
        <v>23</v>
      </c>
      <c r="H54" s="8">
        <v>2.5099999999999998</v>
      </c>
      <c r="I54" s="12">
        <v>0</v>
      </c>
    </row>
    <row r="55" spans="2:9" ht="15" customHeight="1" x14ac:dyDescent="0.2">
      <c r="B55" t="s">
        <v>161</v>
      </c>
      <c r="C55" s="12">
        <v>37</v>
      </c>
      <c r="D55" s="8">
        <v>2.0099999999999998</v>
      </c>
      <c r="E55" s="12">
        <v>28</v>
      </c>
      <c r="F55" s="8">
        <v>3.1</v>
      </c>
      <c r="G55" s="12">
        <v>9</v>
      </c>
      <c r="H55" s="8">
        <v>0.98</v>
      </c>
      <c r="I55" s="12">
        <v>0</v>
      </c>
    </row>
    <row r="56" spans="2:9" ht="15" customHeight="1" x14ac:dyDescent="0.2">
      <c r="B56" t="s">
        <v>158</v>
      </c>
      <c r="C56" s="12">
        <v>36</v>
      </c>
      <c r="D56" s="8">
        <v>1.96</v>
      </c>
      <c r="E56" s="12">
        <v>25</v>
      </c>
      <c r="F56" s="8">
        <v>2.77</v>
      </c>
      <c r="G56" s="12">
        <v>11</v>
      </c>
      <c r="H56" s="8">
        <v>1.2</v>
      </c>
      <c r="I56" s="12">
        <v>0</v>
      </c>
    </row>
    <row r="57" spans="2:9" ht="15" customHeight="1" x14ac:dyDescent="0.2">
      <c r="B57" t="s">
        <v>167</v>
      </c>
      <c r="C57" s="12">
        <v>35</v>
      </c>
      <c r="D57" s="8">
        <v>1.9</v>
      </c>
      <c r="E57" s="12">
        <v>33</v>
      </c>
      <c r="F57" s="8">
        <v>3.65</v>
      </c>
      <c r="G57" s="12">
        <v>2</v>
      </c>
      <c r="H57" s="8">
        <v>0.22</v>
      </c>
      <c r="I57" s="12">
        <v>0</v>
      </c>
    </row>
    <row r="58" spans="2:9" ht="15" customHeight="1" x14ac:dyDescent="0.2">
      <c r="B58" t="s">
        <v>171</v>
      </c>
      <c r="C58" s="12">
        <v>35</v>
      </c>
      <c r="D58" s="8">
        <v>1.9</v>
      </c>
      <c r="E58" s="12">
        <v>29</v>
      </c>
      <c r="F58" s="8">
        <v>3.21</v>
      </c>
      <c r="G58" s="12">
        <v>5</v>
      </c>
      <c r="H58" s="8">
        <v>0.55000000000000004</v>
      </c>
      <c r="I58" s="12">
        <v>1</v>
      </c>
    </row>
    <row r="59" spans="2:9" ht="15" customHeight="1" x14ac:dyDescent="0.2">
      <c r="B59" t="s">
        <v>159</v>
      </c>
      <c r="C59" s="12">
        <v>29</v>
      </c>
      <c r="D59" s="8">
        <v>1.58</v>
      </c>
      <c r="E59" s="12">
        <v>12</v>
      </c>
      <c r="F59" s="8">
        <v>1.33</v>
      </c>
      <c r="G59" s="12">
        <v>17</v>
      </c>
      <c r="H59" s="8">
        <v>1.86</v>
      </c>
      <c r="I59" s="12">
        <v>0</v>
      </c>
    </row>
    <row r="60" spans="2:9" ht="15" customHeight="1" x14ac:dyDescent="0.2">
      <c r="B60" t="s">
        <v>166</v>
      </c>
      <c r="C60" s="12">
        <v>28</v>
      </c>
      <c r="D60" s="8">
        <v>1.52</v>
      </c>
      <c r="E60" s="12">
        <v>25</v>
      </c>
      <c r="F60" s="8">
        <v>2.77</v>
      </c>
      <c r="G60" s="12">
        <v>3</v>
      </c>
      <c r="H60" s="8">
        <v>0.33</v>
      </c>
      <c r="I60" s="12">
        <v>0</v>
      </c>
    </row>
    <row r="61" spans="2:9" ht="15" customHeight="1" x14ac:dyDescent="0.2">
      <c r="B61" t="s">
        <v>155</v>
      </c>
      <c r="C61" s="12">
        <v>25</v>
      </c>
      <c r="D61" s="8">
        <v>1.36</v>
      </c>
      <c r="E61" s="12">
        <v>4</v>
      </c>
      <c r="F61" s="8">
        <v>0.44</v>
      </c>
      <c r="G61" s="12">
        <v>21</v>
      </c>
      <c r="H61" s="8">
        <v>2.29</v>
      </c>
      <c r="I61" s="12">
        <v>0</v>
      </c>
    </row>
    <row r="62" spans="2:9" ht="15" customHeight="1" x14ac:dyDescent="0.2">
      <c r="B62" t="s">
        <v>174</v>
      </c>
      <c r="C62" s="12">
        <v>25</v>
      </c>
      <c r="D62" s="8">
        <v>1.36</v>
      </c>
      <c r="E62" s="12">
        <v>7</v>
      </c>
      <c r="F62" s="8">
        <v>0.77</v>
      </c>
      <c r="G62" s="12">
        <v>18</v>
      </c>
      <c r="H62" s="8">
        <v>1.97</v>
      </c>
      <c r="I62" s="12">
        <v>0</v>
      </c>
    </row>
    <row r="63" spans="2:9" ht="15" customHeight="1" x14ac:dyDescent="0.2">
      <c r="B63" t="s">
        <v>163</v>
      </c>
      <c r="C63" s="12">
        <v>25</v>
      </c>
      <c r="D63" s="8">
        <v>1.36</v>
      </c>
      <c r="E63" s="12">
        <v>6</v>
      </c>
      <c r="F63" s="8">
        <v>0.66</v>
      </c>
      <c r="G63" s="12">
        <v>19</v>
      </c>
      <c r="H63" s="8">
        <v>2.0699999999999998</v>
      </c>
      <c r="I63" s="12">
        <v>0</v>
      </c>
    </row>
    <row r="64" spans="2:9" ht="15" customHeight="1" x14ac:dyDescent="0.2">
      <c r="B64" t="s">
        <v>177</v>
      </c>
      <c r="C64" s="12">
        <v>24</v>
      </c>
      <c r="D64" s="8">
        <v>1.31</v>
      </c>
      <c r="E64" s="12">
        <v>15</v>
      </c>
      <c r="F64" s="8">
        <v>1.66</v>
      </c>
      <c r="G64" s="12">
        <v>9</v>
      </c>
      <c r="H64" s="8">
        <v>0.98</v>
      </c>
      <c r="I64" s="12">
        <v>0</v>
      </c>
    </row>
    <row r="65" spans="2:9" ht="15" customHeight="1" x14ac:dyDescent="0.2">
      <c r="B65" t="s">
        <v>175</v>
      </c>
      <c r="C65" s="12">
        <v>23</v>
      </c>
      <c r="D65" s="8">
        <v>1.25</v>
      </c>
      <c r="E65" s="12">
        <v>20</v>
      </c>
      <c r="F65" s="8">
        <v>2.21</v>
      </c>
      <c r="G65" s="12">
        <v>3</v>
      </c>
      <c r="H65" s="8">
        <v>0.33</v>
      </c>
      <c r="I65" s="12">
        <v>0</v>
      </c>
    </row>
    <row r="66" spans="2:9" ht="15" customHeight="1" x14ac:dyDescent="0.2">
      <c r="B66" t="s">
        <v>157</v>
      </c>
      <c r="C66" s="12">
        <v>22</v>
      </c>
      <c r="D66" s="8">
        <v>1.2</v>
      </c>
      <c r="E66" s="12">
        <v>12</v>
      </c>
      <c r="F66" s="8">
        <v>1.33</v>
      </c>
      <c r="G66" s="12">
        <v>10</v>
      </c>
      <c r="H66" s="8">
        <v>1.0900000000000001</v>
      </c>
      <c r="I66" s="12">
        <v>0</v>
      </c>
    </row>
    <row r="68" spans="2:9" ht="15" customHeight="1" x14ac:dyDescent="0.2">
      <c r="B68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B0152-2B5E-49E9-8014-2FCDD5CA2F0C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292</v>
      </c>
    </row>
    <row r="4" spans="2:9" ht="33" customHeight="1" x14ac:dyDescent="0.2">
      <c r="B4" t="s">
        <v>284</v>
      </c>
      <c r="C4" s="10" t="s">
        <v>91</v>
      </c>
      <c r="D4" s="10" t="s">
        <v>92</v>
      </c>
      <c r="E4" s="10" t="s">
        <v>93</v>
      </c>
      <c r="F4" s="10" t="s">
        <v>94</v>
      </c>
      <c r="G4" s="10" t="s">
        <v>95</v>
      </c>
      <c r="H4" s="10" t="s">
        <v>96</v>
      </c>
      <c r="I4" s="10" t="s">
        <v>97</v>
      </c>
    </row>
    <row r="5" spans="2:9" ht="15" customHeight="1" x14ac:dyDescent="0.2">
      <c r="B5" t="s">
        <v>75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76</v>
      </c>
      <c r="C6" s="12">
        <v>180</v>
      </c>
      <c r="D6" s="8">
        <v>11.86</v>
      </c>
      <c r="E6" s="12">
        <v>45</v>
      </c>
      <c r="F6" s="8">
        <v>5.37</v>
      </c>
      <c r="G6" s="12">
        <v>135</v>
      </c>
      <c r="H6" s="8">
        <v>20.3</v>
      </c>
      <c r="I6" s="12">
        <v>0</v>
      </c>
    </row>
    <row r="7" spans="2:9" ht="15" customHeight="1" x14ac:dyDescent="0.2">
      <c r="B7" t="s">
        <v>77</v>
      </c>
      <c r="C7" s="12">
        <v>78</v>
      </c>
      <c r="D7" s="8">
        <v>5.14</v>
      </c>
      <c r="E7" s="12">
        <v>24</v>
      </c>
      <c r="F7" s="8">
        <v>2.86</v>
      </c>
      <c r="G7" s="12">
        <v>54</v>
      </c>
      <c r="H7" s="8">
        <v>8.1199999999999992</v>
      </c>
      <c r="I7" s="12">
        <v>0</v>
      </c>
    </row>
    <row r="8" spans="2:9" ht="15" customHeight="1" x14ac:dyDescent="0.2">
      <c r="B8" t="s">
        <v>78</v>
      </c>
      <c r="C8" s="12">
        <v>3</v>
      </c>
      <c r="D8" s="8">
        <v>0.2</v>
      </c>
      <c r="E8" s="12">
        <v>0</v>
      </c>
      <c r="F8" s="8">
        <v>0</v>
      </c>
      <c r="G8" s="12">
        <v>3</v>
      </c>
      <c r="H8" s="8">
        <v>0.45</v>
      </c>
      <c r="I8" s="12">
        <v>0</v>
      </c>
    </row>
    <row r="9" spans="2:9" ht="15" customHeight="1" x14ac:dyDescent="0.2">
      <c r="B9" t="s">
        <v>79</v>
      </c>
      <c r="C9" s="12">
        <v>14</v>
      </c>
      <c r="D9" s="8">
        <v>0.92</v>
      </c>
      <c r="E9" s="12">
        <v>0</v>
      </c>
      <c r="F9" s="8">
        <v>0</v>
      </c>
      <c r="G9" s="12">
        <v>14</v>
      </c>
      <c r="H9" s="8">
        <v>2.11</v>
      </c>
      <c r="I9" s="12">
        <v>0</v>
      </c>
    </row>
    <row r="10" spans="2:9" ht="15" customHeight="1" x14ac:dyDescent="0.2">
      <c r="B10" t="s">
        <v>80</v>
      </c>
      <c r="C10" s="12">
        <v>13</v>
      </c>
      <c r="D10" s="8">
        <v>0.86</v>
      </c>
      <c r="E10" s="12">
        <v>1</v>
      </c>
      <c r="F10" s="8">
        <v>0.12</v>
      </c>
      <c r="G10" s="12">
        <v>12</v>
      </c>
      <c r="H10" s="8">
        <v>1.8</v>
      </c>
      <c r="I10" s="12">
        <v>0</v>
      </c>
    </row>
    <row r="11" spans="2:9" ht="15" customHeight="1" x14ac:dyDescent="0.2">
      <c r="B11" t="s">
        <v>81</v>
      </c>
      <c r="C11" s="12">
        <v>390</v>
      </c>
      <c r="D11" s="8">
        <v>25.69</v>
      </c>
      <c r="E11" s="12">
        <v>202</v>
      </c>
      <c r="F11" s="8">
        <v>24.11</v>
      </c>
      <c r="G11" s="12">
        <v>188</v>
      </c>
      <c r="H11" s="8">
        <v>28.27</v>
      </c>
      <c r="I11" s="12">
        <v>0</v>
      </c>
    </row>
    <row r="12" spans="2:9" ht="15" customHeight="1" x14ac:dyDescent="0.2">
      <c r="B12" t="s">
        <v>82</v>
      </c>
      <c r="C12" s="12">
        <v>13</v>
      </c>
      <c r="D12" s="8">
        <v>0.86</v>
      </c>
      <c r="E12" s="12">
        <v>2</v>
      </c>
      <c r="F12" s="8">
        <v>0.24</v>
      </c>
      <c r="G12" s="12">
        <v>11</v>
      </c>
      <c r="H12" s="8">
        <v>1.65</v>
      </c>
      <c r="I12" s="12">
        <v>0</v>
      </c>
    </row>
    <row r="13" spans="2:9" ht="15" customHeight="1" x14ac:dyDescent="0.2">
      <c r="B13" t="s">
        <v>83</v>
      </c>
      <c r="C13" s="12">
        <v>242</v>
      </c>
      <c r="D13" s="8">
        <v>15.94</v>
      </c>
      <c r="E13" s="12">
        <v>154</v>
      </c>
      <c r="F13" s="8">
        <v>18.38</v>
      </c>
      <c r="G13" s="12">
        <v>88</v>
      </c>
      <c r="H13" s="8">
        <v>13.23</v>
      </c>
      <c r="I13" s="12">
        <v>0</v>
      </c>
    </row>
    <row r="14" spans="2:9" ht="15" customHeight="1" x14ac:dyDescent="0.2">
      <c r="B14" t="s">
        <v>84</v>
      </c>
      <c r="C14" s="12">
        <v>53</v>
      </c>
      <c r="D14" s="8">
        <v>3.49</v>
      </c>
      <c r="E14" s="12">
        <v>28</v>
      </c>
      <c r="F14" s="8">
        <v>3.34</v>
      </c>
      <c r="G14" s="12">
        <v>25</v>
      </c>
      <c r="H14" s="8">
        <v>3.76</v>
      </c>
      <c r="I14" s="12">
        <v>0</v>
      </c>
    </row>
    <row r="15" spans="2:9" ht="15" customHeight="1" x14ac:dyDescent="0.2">
      <c r="B15" t="s">
        <v>85</v>
      </c>
      <c r="C15" s="12">
        <v>181</v>
      </c>
      <c r="D15" s="8">
        <v>11.92</v>
      </c>
      <c r="E15" s="12">
        <v>149</v>
      </c>
      <c r="F15" s="8">
        <v>17.78</v>
      </c>
      <c r="G15" s="12">
        <v>32</v>
      </c>
      <c r="H15" s="8">
        <v>4.8099999999999996</v>
      </c>
      <c r="I15" s="12">
        <v>0</v>
      </c>
    </row>
    <row r="16" spans="2:9" ht="15" customHeight="1" x14ac:dyDescent="0.2">
      <c r="B16" t="s">
        <v>86</v>
      </c>
      <c r="C16" s="12">
        <v>162</v>
      </c>
      <c r="D16" s="8">
        <v>10.67</v>
      </c>
      <c r="E16" s="12">
        <v>131</v>
      </c>
      <c r="F16" s="8">
        <v>15.63</v>
      </c>
      <c r="G16" s="12">
        <v>31</v>
      </c>
      <c r="H16" s="8">
        <v>4.66</v>
      </c>
      <c r="I16" s="12">
        <v>0</v>
      </c>
    </row>
    <row r="17" spans="2:9" ht="15" customHeight="1" x14ac:dyDescent="0.2">
      <c r="B17" t="s">
        <v>87</v>
      </c>
      <c r="C17" s="12">
        <v>44</v>
      </c>
      <c r="D17" s="8">
        <v>2.9</v>
      </c>
      <c r="E17" s="12">
        <v>34</v>
      </c>
      <c r="F17" s="8">
        <v>4.0599999999999996</v>
      </c>
      <c r="G17" s="12">
        <v>10</v>
      </c>
      <c r="H17" s="8">
        <v>1.5</v>
      </c>
      <c r="I17" s="12">
        <v>0</v>
      </c>
    </row>
    <row r="18" spans="2:9" ht="15" customHeight="1" x14ac:dyDescent="0.2">
      <c r="B18" t="s">
        <v>88</v>
      </c>
      <c r="C18" s="12">
        <v>80</v>
      </c>
      <c r="D18" s="8">
        <v>5.27</v>
      </c>
      <c r="E18" s="12">
        <v>47</v>
      </c>
      <c r="F18" s="8">
        <v>5.61</v>
      </c>
      <c r="G18" s="12">
        <v>32</v>
      </c>
      <c r="H18" s="8">
        <v>4.8099999999999996</v>
      </c>
      <c r="I18" s="12">
        <v>0</v>
      </c>
    </row>
    <row r="19" spans="2:9" ht="15" customHeight="1" x14ac:dyDescent="0.2">
      <c r="B19" t="s">
        <v>89</v>
      </c>
      <c r="C19" s="12">
        <v>65</v>
      </c>
      <c r="D19" s="8">
        <v>4.28</v>
      </c>
      <c r="E19" s="12">
        <v>21</v>
      </c>
      <c r="F19" s="8">
        <v>2.5099999999999998</v>
      </c>
      <c r="G19" s="12">
        <v>30</v>
      </c>
      <c r="H19" s="8">
        <v>4.51</v>
      </c>
      <c r="I19" s="12">
        <v>1</v>
      </c>
    </row>
    <row r="20" spans="2:9" ht="15" customHeight="1" x14ac:dyDescent="0.2">
      <c r="B20" s="9" t="s">
        <v>285</v>
      </c>
      <c r="C20" s="12">
        <f>SUM(LTBL_40105[総数／事業所数])</f>
        <v>1518</v>
      </c>
      <c r="E20" s="12">
        <f>SUBTOTAL(109,LTBL_40105[個人／事業所数])</f>
        <v>838</v>
      </c>
      <c r="G20" s="12">
        <f>SUBTOTAL(109,LTBL_40105[法人／事業所数])</f>
        <v>665</v>
      </c>
      <c r="I20" s="12">
        <f>SUBTOTAL(109,LTBL_40105[法人以外の団体／事業所数])</f>
        <v>1</v>
      </c>
    </row>
    <row r="21" spans="2:9" ht="15" customHeight="1" x14ac:dyDescent="0.2">
      <c r="E21" s="11">
        <f>LTBL_40105[[#Totals],[個人／事業所数]]/LTBL_40105[[#Totals],[総数／事業所数]]</f>
        <v>0.55204216073781287</v>
      </c>
      <c r="G21" s="11">
        <f>LTBL_40105[[#Totals],[法人／事業所数]]/LTBL_40105[[#Totals],[総数／事業所数]]</f>
        <v>0.43807641633728589</v>
      </c>
      <c r="I21" s="11">
        <f>LTBL_40105[[#Totals],[法人以外の団体／事業所数]]/LTBL_40105[[#Totals],[総数／事業所数]]</f>
        <v>6.5876152832674575E-4</v>
      </c>
    </row>
    <row r="23" spans="2:9" ht="33" customHeight="1" x14ac:dyDescent="0.2">
      <c r="B23" t="s">
        <v>286</v>
      </c>
      <c r="C23" s="10" t="s">
        <v>91</v>
      </c>
      <c r="D23" s="10" t="s">
        <v>92</v>
      </c>
      <c r="E23" s="10" t="s">
        <v>93</v>
      </c>
      <c r="F23" s="10" t="s">
        <v>94</v>
      </c>
      <c r="G23" s="10" t="s">
        <v>95</v>
      </c>
      <c r="H23" s="10" t="s">
        <v>96</v>
      </c>
      <c r="I23" s="10" t="s">
        <v>97</v>
      </c>
    </row>
    <row r="24" spans="2:9" ht="15" customHeight="1" x14ac:dyDescent="0.2">
      <c r="B24" t="s">
        <v>109</v>
      </c>
      <c r="C24" s="12">
        <v>209</v>
      </c>
      <c r="D24" s="8">
        <v>13.77</v>
      </c>
      <c r="E24" s="12">
        <v>147</v>
      </c>
      <c r="F24" s="8">
        <v>17.54</v>
      </c>
      <c r="G24" s="12">
        <v>62</v>
      </c>
      <c r="H24" s="8">
        <v>9.32</v>
      </c>
      <c r="I24" s="12">
        <v>0</v>
      </c>
    </row>
    <row r="25" spans="2:9" ht="15" customHeight="1" x14ac:dyDescent="0.2">
      <c r="B25" t="s">
        <v>112</v>
      </c>
      <c r="C25" s="12">
        <v>158</v>
      </c>
      <c r="D25" s="8">
        <v>10.41</v>
      </c>
      <c r="E25" s="12">
        <v>140</v>
      </c>
      <c r="F25" s="8">
        <v>16.71</v>
      </c>
      <c r="G25" s="12">
        <v>18</v>
      </c>
      <c r="H25" s="8">
        <v>2.71</v>
      </c>
      <c r="I25" s="12">
        <v>0</v>
      </c>
    </row>
    <row r="26" spans="2:9" ht="15" customHeight="1" x14ac:dyDescent="0.2">
      <c r="B26" t="s">
        <v>113</v>
      </c>
      <c r="C26" s="12">
        <v>142</v>
      </c>
      <c r="D26" s="8">
        <v>9.35</v>
      </c>
      <c r="E26" s="12">
        <v>124</v>
      </c>
      <c r="F26" s="8">
        <v>14.8</v>
      </c>
      <c r="G26" s="12">
        <v>18</v>
      </c>
      <c r="H26" s="8">
        <v>2.71</v>
      </c>
      <c r="I26" s="12">
        <v>0</v>
      </c>
    </row>
    <row r="27" spans="2:9" ht="15" customHeight="1" x14ac:dyDescent="0.2">
      <c r="B27" t="s">
        <v>105</v>
      </c>
      <c r="C27" s="12">
        <v>105</v>
      </c>
      <c r="D27" s="8">
        <v>6.92</v>
      </c>
      <c r="E27" s="12">
        <v>86</v>
      </c>
      <c r="F27" s="8">
        <v>10.26</v>
      </c>
      <c r="G27" s="12">
        <v>19</v>
      </c>
      <c r="H27" s="8">
        <v>2.86</v>
      </c>
      <c r="I27" s="12">
        <v>0</v>
      </c>
    </row>
    <row r="28" spans="2:9" ht="15" customHeight="1" x14ac:dyDescent="0.2">
      <c r="B28" t="s">
        <v>107</v>
      </c>
      <c r="C28" s="12">
        <v>102</v>
      </c>
      <c r="D28" s="8">
        <v>6.72</v>
      </c>
      <c r="E28" s="12">
        <v>56</v>
      </c>
      <c r="F28" s="8">
        <v>6.68</v>
      </c>
      <c r="G28" s="12">
        <v>46</v>
      </c>
      <c r="H28" s="8">
        <v>6.92</v>
      </c>
      <c r="I28" s="12">
        <v>0</v>
      </c>
    </row>
    <row r="29" spans="2:9" ht="15" customHeight="1" x14ac:dyDescent="0.2">
      <c r="B29" t="s">
        <v>98</v>
      </c>
      <c r="C29" s="12">
        <v>70</v>
      </c>
      <c r="D29" s="8">
        <v>4.6100000000000003</v>
      </c>
      <c r="E29" s="12">
        <v>25</v>
      </c>
      <c r="F29" s="8">
        <v>2.98</v>
      </c>
      <c r="G29" s="12">
        <v>45</v>
      </c>
      <c r="H29" s="8">
        <v>6.77</v>
      </c>
      <c r="I29" s="12">
        <v>0</v>
      </c>
    </row>
    <row r="30" spans="2:9" ht="15" customHeight="1" x14ac:dyDescent="0.2">
      <c r="B30" t="s">
        <v>100</v>
      </c>
      <c r="C30" s="12">
        <v>58</v>
      </c>
      <c r="D30" s="8">
        <v>3.82</v>
      </c>
      <c r="E30" s="12">
        <v>3</v>
      </c>
      <c r="F30" s="8">
        <v>0.36</v>
      </c>
      <c r="G30" s="12">
        <v>55</v>
      </c>
      <c r="H30" s="8">
        <v>8.27</v>
      </c>
      <c r="I30" s="12">
        <v>0</v>
      </c>
    </row>
    <row r="31" spans="2:9" ht="15" customHeight="1" x14ac:dyDescent="0.2">
      <c r="B31" t="s">
        <v>115</v>
      </c>
      <c r="C31" s="12">
        <v>53</v>
      </c>
      <c r="D31" s="8">
        <v>3.49</v>
      </c>
      <c r="E31" s="12">
        <v>47</v>
      </c>
      <c r="F31" s="8">
        <v>5.61</v>
      </c>
      <c r="G31" s="12">
        <v>6</v>
      </c>
      <c r="H31" s="8">
        <v>0.9</v>
      </c>
      <c r="I31" s="12">
        <v>0</v>
      </c>
    </row>
    <row r="32" spans="2:9" ht="15" customHeight="1" x14ac:dyDescent="0.2">
      <c r="B32" t="s">
        <v>99</v>
      </c>
      <c r="C32" s="12">
        <v>52</v>
      </c>
      <c r="D32" s="8">
        <v>3.43</v>
      </c>
      <c r="E32" s="12">
        <v>17</v>
      </c>
      <c r="F32" s="8">
        <v>2.0299999999999998</v>
      </c>
      <c r="G32" s="12">
        <v>35</v>
      </c>
      <c r="H32" s="8">
        <v>5.26</v>
      </c>
      <c r="I32" s="12">
        <v>0</v>
      </c>
    </row>
    <row r="33" spans="2:9" ht="15" customHeight="1" x14ac:dyDescent="0.2">
      <c r="B33" t="s">
        <v>101</v>
      </c>
      <c r="C33" s="12">
        <v>47</v>
      </c>
      <c r="D33" s="8">
        <v>3.1</v>
      </c>
      <c r="E33" s="12">
        <v>5</v>
      </c>
      <c r="F33" s="8">
        <v>0.6</v>
      </c>
      <c r="G33" s="12">
        <v>42</v>
      </c>
      <c r="H33" s="8">
        <v>6.32</v>
      </c>
      <c r="I33" s="12">
        <v>0</v>
      </c>
    </row>
    <row r="34" spans="2:9" ht="15" customHeight="1" x14ac:dyDescent="0.2">
      <c r="B34" t="s">
        <v>104</v>
      </c>
      <c r="C34" s="12">
        <v>44</v>
      </c>
      <c r="D34" s="8">
        <v>2.9</v>
      </c>
      <c r="E34" s="12">
        <v>27</v>
      </c>
      <c r="F34" s="8">
        <v>3.22</v>
      </c>
      <c r="G34" s="12">
        <v>17</v>
      </c>
      <c r="H34" s="8">
        <v>2.56</v>
      </c>
      <c r="I34" s="12">
        <v>0</v>
      </c>
    </row>
    <row r="35" spans="2:9" ht="15" customHeight="1" x14ac:dyDescent="0.2">
      <c r="B35" t="s">
        <v>114</v>
      </c>
      <c r="C35" s="12">
        <v>44</v>
      </c>
      <c r="D35" s="8">
        <v>2.9</v>
      </c>
      <c r="E35" s="12">
        <v>34</v>
      </c>
      <c r="F35" s="8">
        <v>4.0599999999999996</v>
      </c>
      <c r="G35" s="12">
        <v>10</v>
      </c>
      <c r="H35" s="8">
        <v>1.5</v>
      </c>
      <c r="I35" s="12">
        <v>0</v>
      </c>
    </row>
    <row r="36" spans="2:9" ht="15" customHeight="1" x14ac:dyDescent="0.2">
      <c r="B36" t="s">
        <v>102</v>
      </c>
      <c r="C36" s="12">
        <v>31</v>
      </c>
      <c r="D36" s="8">
        <v>2.04</v>
      </c>
      <c r="E36" s="12">
        <v>2</v>
      </c>
      <c r="F36" s="8">
        <v>0.24</v>
      </c>
      <c r="G36" s="12">
        <v>29</v>
      </c>
      <c r="H36" s="8">
        <v>4.3600000000000003</v>
      </c>
      <c r="I36" s="12">
        <v>0</v>
      </c>
    </row>
    <row r="37" spans="2:9" ht="15" customHeight="1" x14ac:dyDescent="0.2">
      <c r="B37" t="s">
        <v>110</v>
      </c>
      <c r="C37" s="12">
        <v>28</v>
      </c>
      <c r="D37" s="8">
        <v>1.84</v>
      </c>
      <c r="E37" s="12">
        <v>18</v>
      </c>
      <c r="F37" s="8">
        <v>2.15</v>
      </c>
      <c r="G37" s="12">
        <v>10</v>
      </c>
      <c r="H37" s="8">
        <v>1.5</v>
      </c>
      <c r="I37" s="12">
        <v>0</v>
      </c>
    </row>
    <row r="38" spans="2:9" ht="15" customHeight="1" x14ac:dyDescent="0.2">
      <c r="B38" t="s">
        <v>116</v>
      </c>
      <c r="C38" s="12">
        <v>27</v>
      </c>
      <c r="D38" s="8">
        <v>1.78</v>
      </c>
      <c r="E38" s="12">
        <v>0</v>
      </c>
      <c r="F38" s="8">
        <v>0</v>
      </c>
      <c r="G38" s="12">
        <v>26</v>
      </c>
      <c r="H38" s="8">
        <v>3.91</v>
      </c>
      <c r="I38" s="12">
        <v>0</v>
      </c>
    </row>
    <row r="39" spans="2:9" ht="15" customHeight="1" x14ac:dyDescent="0.2">
      <c r="B39" t="s">
        <v>106</v>
      </c>
      <c r="C39" s="12">
        <v>26</v>
      </c>
      <c r="D39" s="8">
        <v>1.71</v>
      </c>
      <c r="E39" s="12">
        <v>16</v>
      </c>
      <c r="F39" s="8">
        <v>1.91</v>
      </c>
      <c r="G39" s="12">
        <v>10</v>
      </c>
      <c r="H39" s="8">
        <v>1.5</v>
      </c>
      <c r="I39" s="12">
        <v>0</v>
      </c>
    </row>
    <row r="40" spans="2:9" ht="15" customHeight="1" x14ac:dyDescent="0.2">
      <c r="B40" t="s">
        <v>108</v>
      </c>
      <c r="C40" s="12">
        <v>25</v>
      </c>
      <c r="D40" s="8">
        <v>1.65</v>
      </c>
      <c r="E40" s="12">
        <v>7</v>
      </c>
      <c r="F40" s="8">
        <v>0.84</v>
      </c>
      <c r="G40" s="12">
        <v>18</v>
      </c>
      <c r="H40" s="8">
        <v>2.71</v>
      </c>
      <c r="I40" s="12">
        <v>0</v>
      </c>
    </row>
    <row r="41" spans="2:9" ht="15" customHeight="1" x14ac:dyDescent="0.2">
      <c r="B41" t="s">
        <v>111</v>
      </c>
      <c r="C41" s="12">
        <v>24</v>
      </c>
      <c r="D41" s="8">
        <v>1.58</v>
      </c>
      <c r="E41" s="12">
        <v>10</v>
      </c>
      <c r="F41" s="8">
        <v>1.19</v>
      </c>
      <c r="G41" s="12">
        <v>14</v>
      </c>
      <c r="H41" s="8">
        <v>2.11</v>
      </c>
      <c r="I41" s="12">
        <v>0</v>
      </c>
    </row>
    <row r="42" spans="2:9" ht="15" customHeight="1" x14ac:dyDescent="0.2">
      <c r="B42" t="s">
        <v>121</v>
      </c>
      <c r="C42" s="12">
        <v>20</v>
      </c>
      <c r="D42" s="8">
        <v>1.32</v>
      </c>
      <c r="E42" s="12">
        <v>9</v>
      </c>
      <c r="F42" s="8">
        <v>1.07</v>
      </c>
      <c r="G42" s="12">
        <v>11</v>
      </c>
      <c r="H42" s="8">
        <v>1.65</v>
      </c>
      <c r="I42" s="12">
        <v>0</v>
      </c>
    </row>
    <row r="43" spans="2:9" ht="15" customHeight="1" x14ac:dyDescent="0.2">
      <c r="B43" t="s">
        <v>117</v>
      </c>
      <c r="C43" s="12">
        <v>19</v>
      </c>
      <c r="D43" s="8">
        <v>1.25</v>
      </c>
      <c r="E43" s="12">
        <v>1</v>
      </c>
      <c r="F43" s="8">
        <v>0.12</v>
      </c>
      <c r="G43" s="12">
        <v>17</v>
      </c>
      <c r="H43" s="8">
        <v>2.56</v>
      </c>
      <c r="I43" s="12">
        <v>1</v>
      </c>
    </row>
    <row r="46" spans="2:9" ht="33" customHeight="1" x14ac:dyDescent="0.2">
      <c r="B46" t="s">
        <v>287</v>
      </c>
      <c r="C46" s="10" t="s">
        <v>91</v>
      </c>
      <c r="D46" s="10" t="s">
        <v>92</v>
      </c>
      <c r="E46" s="10" t="s">
        <v>93</v>
      </c>
      <c r="F46" s="10" t="s">
        <v>94</v>
      </c>
      <c r="G46" s="10" t="s">
        <v>95</v>
      </c>
      <c r="H46" s="10" t="s">
        <v>96</v>
      </c>
      <c r="I46" s="10" t="s">
        <v>97</v>
      </c>
    </row>
    <row r="47" spans="2:9" ht="15" customHeight="1" x14ac:dyDescent="0.2">
      <c r="B47" t="s">
        <v>164</v>
      </c>
      <c r="C47" s="12">
        <v>119</v>
      </c>
      <c r="D47" s="8">
        <v>7.84</v>
      </c>
      <c r="E47" s="12">
        <v>82</v>
      </c>
      <c r="F47" s="8">
        <v>9.7899999999999991</v>
      </c>
      <c r="G47" s="12">
        <v>37</v>
      </c>
      <c r="H47" s="8">
        <v>5.56</v>
      </c>
      <c r="I47" s="12">
        <v>0</v>
      </c>
    </row>
    <row r="48" spans="2:9" ht="15" customHeight="1" x14ac:dyDescent="0.2">
      <c r="B48" t="s">
        <v>175</v>
      </c>
      <c r="C48" s="12">
        <v>63</v>
      </c>
      <c r="D48" s="8">
        <v>4.1500000000000004</v>
      </c>
      <c r="E48" s="12">
        <v>56</v>
      </c>
      <c r="F48" s="8">
        <v>6.68</v>
      </c>
      <c r="G48" s="12">
        <v>7</v>
      </c>
      <c r="H48" s="8">
        <v>1.05</v>
      </c>
      <c r="I48" s="12">
        <v>0</v>
      </c>
    </row>
    <row r="49" spans="2:9" ht="15" customHeight="1" x14ac:dyDescent="0.2">
      <c r="B49" t="s">
        <v>170</v>
      </c>
      <c r="C49" s="12">
        <v>61</v>
      </c>
      <c r="D49" s="8">
        <v>4.0199999999999996</v>
      </c>
      <c r="E49" s="12">
        <v>56</v>
      </c>
      <c r="F49" s="8">
        <v>6.68</v>
      </c>
      <c r="G49" s="12">
        <v>5</v>
      </c>
      <c r="H49" s="8">
        <v>0.75</v>
      </c>
      <c r="I49" s="12">
        <v>0</v>
      </c>
    </row>
    <row r="50" spans="2:9" ht="15" customHeight="1" x14ac:dyDescent="0.2">
      <c r="B50" t="s">
        <v>169</v>
      </c>
      <c r="C50" s="12">
        <v>51</v>
      </c>
      <c r="D50" s="8">
        <v>3.36</v>
      </c>
      <c r="E50" s="12">
        <v>49</v>
      </c>
      <c r="F50" s="8">
        <v>5.85</v>
      </c>
      <c r="G50" s="12">
        <v>2</v>
      </c>
      <c r="H50" s="8">
        <v>0.3</v>
      </c>
      <c r="I50" s="12">
        <v>0</v>
      </c>
    </row>
    <row r="51" spans="2:9" ht="15" customHeight="1" x14ac:dyDescent="0.2">
      <c r="B51" t="s">
        <v>168</v>
      </c>
      <c r="C51" s="12">
        <v>45</v>
      </c>
      <c r="D51" s="8">
        <v>2.96</v>
      </c>
      <c r="E51" s="12">
        <v>45</v>
      </c>
      <c r="F51" s="8">
        <v>5.37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160</v>
      </c>
      <c r="C52" s="12">
        <v>37</v>
      </c>
      <c r="D52" s="8">
        <v>2.44</v>
      </c>
      <c r="E52" s="12">
        <v>15</v>
      </c>
      <c r="F52" s="8">
        <v>1.79</v>
      </c>
      <c r="G52" s="12">
        <v>22</v>
      </c>
      <c r="H52" s="8">
        <v>3.31</v>
      </c>
      <c r="I52" s="12">
        <v>0</v>
      </c>
    </row>
    <row r="53" spans="2:9" ht="15" customHeight="1" x14ac:dyDescent="0.2">
      <c r="B53" t="s">
        <v>167</v>
      </c>
      <c r="C53" s="12">
        <v>36</v>
      </c>
      <c r="D53" s="8">
        <v>2.37</v>
      </c>
      <c r="E53" s="12">
        <v>33</v>
      </c>
      <c r="F53" s="8">
        <v>3.94</v>
      </c>
      <c r="G53" s="12">
        <v>3</v>
      </c>
      <c r="H53" s="8">
        <v>0.45</v>
      </c>
      <c r="I53" s="12">
        <v>0</v>
      </c>
    </row>
    <row r="54" spans="2:9" ht="15" customHeight="1" x14ac:dyDescent="0.2">
      <c r="B54" t="s">
        <v>172</v>
      </c>
      <c r="C54" s="12">
        <v>33</v>
      </c>
      <c r="D54" s="8">
        <v>2.17</v>
      </c>
      <c r="E54" s="12">
        <v>29</v>
      </c>
      <c r="F54" s="8">
        <v>3.46</v>
      </c>
      <c r="G54" s="12">
        <v>4</v>
      </c>
      <c r="H54" s="8">
        <v>0.6</v>
      </c>
      <c r="I54" s="12">
        <v>0</v>
      </c>
    </row>
    <row r="55" spans="2:9" ht="15" customHeight="1" x14ac:dyDescent="0.2">
      <c r="B55" t="s">
        <v>158</v>
      </c>
      <c r="C55" s="12">
        <v>32</v>
      </c>
      <c r="D55" s="8">
        <v>2.11</v>
      </c>
      <c r="E55" s="12">
        <v>26</v>
      </c>
      <c r="F55" s="8">
        <v>3.1</v>
      </c>
      <c r="G55" s="12">
        <v>6</v>
      </c>
      <c r="H55" s="8">
        <v>0.9</v>
      </c>
      <c r="I55" s="12">
        <v>0</v>
      </c>
    </row>
    <row r="56" spans="2:9" ht="15" customHeight="1" x14ac:dyDescent="0.2">
      <c r="B56" t="s">
        <v>161</v>
      </c>
      <c r="C56" s="12">
        <v>28</v>
      </c>
      <c r="D56" s="8">
        <v>1.84</v>
      </c>
      <c r="E56" s="12">
        <v>18</v>
      </c>
      <c r="F56" s="8">
        <v>2.15</v>
      </c>
      <c r="G56" s="12">
        <v>10</v>
      </c>
      <c r="H56" s="8">
        <v>1.5</v>
      </c>
      <c r="I56" s="12">
        <v>0</v>
      </c>
    </row>
    <row r="57" spans="2:9" ht="15" customHeight="1" x14ac:dyDescent="0.2">
      <c r="B57" t="s">
        <v>171</v>
      </c>
      <c r="C57" s="12">
        <v>27</v>
      </c>
      <c r="D57" s="8">
        <v>1.78</v>
      </c>
      <c r="E57" s="12">
        <v>24</v>
      </c>
      <c r="F57" s="8">
        <v>2.86</v>
      </c>
      <c r="G57" s="12">
        <v>3</v>
      </c>
      <c r="H57" s="8">
        <v>0.45</v>
      </c>
      <c r="I57" s="12">
        <v>0</v>
      </c>
    </row>
    <row r="58" spans="2:9" ht="15" customHeight="1" x14ac:dyDescent="0.2">
      <c r="B58" t="s">
        <v>166</v>
      </c>
      <c r="C58" s="12">
        <v>26</v>
      </c>
      <c r="D58" s="8">
        <v>1.71</v>
      </c>
      <c r="E58" s="12">
        <v>22</v>
      </c>
      <c r="F58" s="8">
        <v>2.63</v>
      </c>
      <c r="G58" s="12">
        <v>4</v>
      </c>
      <c r="H58" s="8">
        <v>0.6</v>
      </c>
      <c r="I58" s="12">
        <v>0</v>
      </c>
    </row>
    <row r="59" spans="2:9" ht="15" customHeight="1" x14ac:dyDescent="0.2">
      <c r="B59" t="s">
        <v>154</v>
      </c>
      <c r="C59" s="12">
        <v>25</v>
      </c>
      <c r="D59" s="8">
        <v>1.65</v>
      </c>
      <c r="E59" s="12">
        <v>8</v>
      </c>
      <c r="F59" s="8">
        <v>0.95</v>
      </c>
      <c r="G59" s="12">
        <v>17</v>
      </c>
      <c r="H59" s="8">
        <v>2.56</v>
      </c>
      <c r="I59" s="12">
        <v>0</v>
      </c>
    </row>
    <row r="60" spans="2:9" ht="15" customHeight="1" x14ac:dyDescent="0.2">
      <c r="B60" t="s">
        <v>162</v>
      </c>
      <c r="C60" s="12">
        <v>22</v>
      </c>
      <c r="D60" s="8">
        <v>1.45</v>
      </c>
      <c r="E60" s="12">
        <v>6</v>
      </c>
      <c r="F60" s="8">
        <v>0.72</v>
      </c>
      <c r="G60" s="12">
        <v>16</v>
      </c>
      <c r="H60" s="8">
        <v>2.41</v>
      </c>
      <c r="I60" s="12">
        <v>0</v>
      </c>
    </row>
    <row r="61" spans="2:9" ht="15" customHeight="1" x14ac:dyDescent="0.2">
      <c r="B61" t="s">
        <v>155</v>
      </c>
      <c r="C61" s="12">
        <v>21</v>
      </c>
      <c r="D61" s="8">
        <v>1.38</v>
      </c>
      <c r="E61" s="12">
        <v>3</v>
      </c>
      <c r="F61" s="8">
        <v>0.36</v>
      </c>
      <c r="G61" s="12">
        <v>18</v>
      </c>
      <c r="H61" s="8">
        <v>2.71</v>
      </c>
      <c r="I61" s="12">
        <v>0</v>
      </c>
    </row>
    <row r="62" spans="2:9" ht="15" customHeight="1" x14ac:dyDescent="0.2">
      <c r="B62" t="s">
        <v>156</v>
      </c>
      <c r="C62" s="12">
        <v>21</v>
      </c>
      <c r="D62" s="8">
        <v>1.38</v>
      </c>
      <c r="E62" s="12">
        <v>2</v>
      </c>
      <c r="F62" s="8">
        <v>0.24</v>
      </c>
      <c r="G62" s="12">
        <v>19</v>
      </c>
      <c r="H62" s="8">
        <v>2.86</v>
      </c>
      <c r="I62" s="12">
        <v>0</v>
      </c>
    </row>
    <row r="63" spans="2:9" ht="15" customHeight="1" x14ac:dyDescent="0.2">
      <c r="B63" t="s">
        <v>157</v>
      </c>
      <c r="C63" s="12">
        <v>21</v>
      </c>
      <c r="D63" s="8">
        <v>1.38</v>
      </c>
      <c r="E63" s="12">
        <v>16</v>
      </c>
      <c r="F63" s="8">
        <v>1.91</v>
      </c>
      <c r="G63" s="12">
        <v>5</v>
      </c>
      <c r="H63" s="8">
        <v>0.75</v>
      </c>
      <c r="I63" s="12">
        <v>0</v>
      </c>
    </row>
    <row r="64" spans="2:9" ht="15" customHeight="1" x14ac:dyDescent="0.2">
      <c r="B64" t="s">
        <v>179</v>
      </c>
      <c r="C64" s="12">
        <v>20</v>
      </c>
      <c r="D64" s="8">
        <v>1.32</v>
      </c>
      <c r="E64" s="12">
        <v>18</v>
      </c>
      <c r="F64" s="8">
        <v>2.15</v>
      </c>
      <c r="G64" s="12">
        <v>2</v>
      </c>
      <c r="H64" s="8">
        <v>0.3</v>
      </c>
      <c r="I64" s="12">
        <v>0</v>
      </c>
    </row>
    <row r="65" spans="2:9" ht="15" customHeight="1" x14ac:dyDescent="0.2">
      <c r="B65" t="s">
        <v>181</v>
      </c>
      <c r="C65" s="12">
        <v>18</v>
      </c>
      <c r="D65" s="8">
        <v>1.19</v>
      </c>
      <c r="E65" s="12">
        <v>17</v>
      </c>
      <c r="F65" s="8">
        <v>2.0299999999999998</v>
      </c>
      <c r="G65" s="12">
        <v>1</v>
      </c>
      <c r="H65" s="8">
        <v>0.15</v>
      </c>
      <c r="I65" s="12">
        <v>0</v>
      </c>
    </row>
    <row r="66" spans="2:9" ht="15" customHeight="1" x14ac:dyDescent="0.2">
      <c r="B66" t="s">
        <v>182</v>
      </c>
      <c r="C66" s="12">
        <v>17</v>
      </c>
      <c r="D66" s="8">
        <v>1.1200000000000001</v>
      </c>
      <c r="E66" s="12">
        <v>10</v>
      </c>
      <c r="F66" s="8">
        <v>1.19</v>
      </c>
      <c r="G66" s="12">
        <v>7</v>
      </c>
      <c r="H66" s="8">
        <v>1.05</v>
      </c>
      <c r="I66" s="12">
        <v>0</v>
      </c>
    </row>
    <row r="67" spans="2:9" ht="15" customHeight="1" x14ac:dyDescent="0.2">
      <c r="B67" t="s">
        <v>183</v>
      </c>
      <c r="C67" s="12">
        <v>17</v>
      </c>
      <c r="D67" s="8">
        <v>1.1200000000000001</v>
      </c>
      <c r="E67" s="12">
        <v>17</v>
      </c>
      <c r="F67" s="8">
        <v>2.0299999999999998</v>
      </c>
      <c r="G67" s="12">
        <v>0</v>
      </c>
      <c r="H67" s="8">
        <v>0</v>
      </c>
      <c r="I67" s="12">
        <v>0</v>
      </c>
    </row>
    <row r="69" spans="2:9" ht="15" customHeight="1" x14ac:dyDescent="0.2">
      <c r="B69" t="s">
        <v>288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79</vt:i4>
      </vt:variant>
      <vt:variant>
        <vt:lpstr>名前付き一覧</vt:lpstr>
      </vt:variant>
      <vt:variant>
        <vt:i4>3</vt:i4>
      </vt:variant>
    </vt:vector>
  </HeadingPairs>
  <TitlesOfParts>
    <vt:vector size="82" baseType="lpstr">
      <vt:lpstr>目次</vt:lpstr>
      <vt:lpstr>産業大分類</vt:lpstr>
      <vt:lpstr>産業中分類</vt:lpstr>
      <vt:lpstr>産業小分類</vt:lpstr>
      <vt:lpstr>福岡県</vt:lpstr>
      <vt:lpstr>北九州市</vt:lpstr>
      <vt:lpstr>北九州市門司区</vt:lpstr>
      <vt:lpstr>北九州市若松区</vt:lpstr>
      <vt:lpstr>北九州市戸畑区</vt:lpstr>
      <vt:lpstr>北九州市小倉北区</vt:lpstr>
      <vt:lpstr>北九州市小倉南区</vt:lpstr>
      <vt:lpstr>北九州市八幡東区</vt:lpstr>
      <vt:lpstr>北九州市八幡西区</vt:lpstr>
      <vt:lpstr>福岡市</vt:lpstr>
      <vt:lpstr>福岡市東区</vt:lpstr>
      <vt:lpstr>福岡市博多区</vt:lpstr>
      <vt:lpstr>福岡市中央区</vt:lpstr>
      <vt:lpstr>福岡市南区</vt:lpstr>
      <vt:lpstr>福岡市西区</vt:lpstr>
      <vt:lpstr>福岡市城南区</vt:lpstr>
      <vt:lpstr>福岡市早良区</vt:lpstr>
      <vt:lpstr>大牟田市</vt:lpstr>
      <vt:lpstr>久留米市</vt:lpstr>
      <vt:lpstr>直方市</vt:lpstr>
      <vt:lpstr>飯塚市</vt:lpstr>
      <vt:lpstr>田川市</vt:lpstr>
      <vt:lpstr>柳川市</vt:lpstr>
      <vt:lpstr>八女市</vt:lpstr>
      <vt:lpstr>筑後市</vt:lpstr>
      <vt:lpstr>大川市</vt:lpstr>
      <vt:lpstr>行橋市</vt:lpstr>
      <vt:lpstr>豊前市</vt:lpstr>
      <vt:lpstr>中間市</vt:lpstr>
      <vt:lpstr>小郡市</vt:lpstr>
      <vt:lpstr>筑紫野市</vt:lpstr>
      <vt:lpstr>春日市</vt:lpstr>
      <vt:lpstr>大野城市</vt:lpstr>
      <vt:lpstr>宗像市</vt:lpstr>
      <vt:lpstr>太宰府市</vt:lpstr>
      <vt:lpstr>古賀市</vt:lpstr>
      <vt:lpstr>福津市</vt:lpstr>
      <vt:lpstr>うきは市</vt:lpstr>
      <vt:lpstr>宮若市</vt:lpstr>
      <vt:lpstr>嘉麻市</vt:lpstr>
      <vt:lpstr>朝倉市</vt:lpstr>
      <vt:lpstr>みやま市</vt:lpstr>
      <vt:lpstr>糸島市</vt:lpstr>
      <vt:lpstr>那珂川市</vt:lpstr>
      <vt:lpstr>糟屋郡宇美町</vt:lpstr>
      <vt:lpstr>糟屋郡篠栗町</vt:lpstr>
      <vt:lpstr>糟屋郡志免町</vt:lpstr>
      <vt:lpstr>糟屋郡須恵町</vt:lpstr>
      <vt:lpstr>糟屋郡新宮町</vt:lpstr>
      <vt:lpstr>糟屋郡久山町</vt:lpstr>
      <vt:lpstr>糟屋郡粕屋町</vt:lpstr>
      <vt:lpstr>遠賀郡芦屋町</vt:lpstr>
      <vt:lpstr>遠賀郡水巻町</vt:lpstr>
      <vt:lpstr>遠賀郡岡垣町</vt:lpstr>
      <vt:lpstr>遠賀郡遠賀町</vt:lpstr>
      <vt:lpstr>鞍手郡小竹町</vt:lpstr>
      <vt:lpstr>鞍手郡鞍手町</vt:lpstr>
      <vt:lpstr>嘉穂郡桂川町</vt:lpstr>
      <vt:lpstr>朝倉郡筑前町</vt:lpstr>
      <vt:lpstr>朝倉郡東峰村</vt:lpstr>
      <vt:lpstr>三井郡大刀洗町</vt:lpstr>
      <vt:lpstr>三潴郡大木町</vt:lpstr>
      <vt:lpstr>八女郡広川町</vt:lpstr>
      <vt:lpstr>田川郡香春町</vt:lpstr>
      <vt:lpstr>田川郡添田町</vt:lpstr>
      <vt:lpstr>田川郡糸田町</vt:lpstr>
      <vt:lpstr>田川郡川崎町</vt:lpstr>
      <vt:lpstr>田川郡大任町</vt:lpstr>
      <vt:lpstr>田川郡赤村</vt:lpstr>
      <vt:lpstr>田川郡福智町</vt:lpstr>
      <vt:lpstr>京都郡苅田町</vt:lpstr>
      <vt:lpstr>京都郡みやこ町</vt:lpstr>
      <vt:lpstr>築上郡吉富町</vt:lpstr>
      <vt:lpstr>築上郡上毛町</vt:lpstr>
      <vt:lpstr>築上郡築上町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2023-08-17T02:22:56Z</dcterms:created>
  <dcterms:modified xsi:type="dcterms:W3CDTF">2023-08-17T02:22:56Z</dcterms:modified>
</cp:coreProperties>
</file>